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Труд_по старости" sheetId="1" r:id="rId1"/>
    <sheet name="Труд_по инв(потере корм)" sheetId="2" r:id="rId2"/>
    <sheet name="Гос_обесп(военнослуж) " sheetId="3" r:id="rId3"/>
    <sheet name="Гос_обесп(участн. ВОВ и социал)" sheetId="4" r:id="rId4"/>
    <sheet name="Гос_обесп(радиац.катастрофы)" sheetId="5" r:id="rId5"/>
    <sheet name="блокадники" sheetId="6" r:id="rId6"/>
  </sheets>
  <externalReferences>
    <externalReference r:id="rId9"/>
    <externalReference r:id="rId10"/>
  </externalReferences>
  <definedNames>
    <definedName name="_xlnm.Print_Area" localSheetId="0">'Труд_по старости'!$A$2:$BW$36</definedName>
  </definedNames>
  <calcPr fullCalcOnLoad="1"/>
</workbook>
</file>

<file path=xl/comments1.xml><?xml version="1.0" encoding="utf-8"?>
<comments xmlns="http://schemas.openxmlformats.org/spreadsheetml/2006/main">
  <authors>
    <author>Image</author>
  </authors>
  <commentList>
    <comment ref="AV8" authorId="0">
      <text>
        <r>
          <rPr>
            <b/>
            <sz val="8"/>
            <rFont val="Tahoma"/>
            <family val="0"/>
          </rPr>
          <t>Image:</t>
        </r>
        <r>
          <rPr>
            <sz val="8"/>
            <rFont val="Tahoma"/>
            <family val="0"/>
          </rPr>
          <t xml:space="preserve">
1144,98&lt;СЧ&lt;1747,06
</t>
        </r>
      </text>
    </comment>
    <comment ref="AV9" authorId="0">
      <text>
        <r>
          <rPr>
            <b/>
            <sz val="8"/>
            <rFont val="Tahoma"/>
            <family val="0"/>
          </rPr>
          <t>Image:</t>
        </r>
        <r>
          <rPr>
            <sz val="8"/>
            <rFont val="Tahoma"/>
            <family val="0"/>
          </rPr>
          <t xml:space="preserve">
587,67&lt;СЧ&lt;1189,75</t>
        </r>
      </text>
    </comment>
    <comment ref="AV10" authorId="0">
      <text>
        <r>
          <rPr>
            <b/>
            <sz val="8"/>
            <rFont val="Tahoma"/>
            <family val="0"/>
          </rPr>
          <t>Image:</t>
        </r>
        <r>
          <rPr>
            <sz val="8"/>
            <rFont val="Tahoma"/>
            <family val="0"/>
          </rPr>
          <t xml:space="preserve">
30,35&lt;СЧ&lt;632,43
</t>
        </r>
      </text>
    </comment>
  </commentList>
</comments>
</file>

<file path=xl/sharedStrings.xml><?xml version="1.0" encoding="utf-8"?>
<sst xmlns="http://schemas.openxmlformats.org/spreadsheetml/2006/main" count="652" uniqueCount="147">
  <si>
    <t>Справочные таблицы размеров базовой части трудовой пенсии</t>
  </si>
  <si>
    <t>Установленные размеры базовой части (без учета районного коэффициента)</t>
  </si>
  <si>
    <t>Пенсия по старости</t>
  </si>
  <si>
    <t>выехавшие</t>
  </si>
  <si>
    <t>МПКС проживающие</t>
  </si>
  <si>
    <t>РКС проживающие</t>
  </si>
  <si>
    <t>руб.</t>
  </si>
  <si>
    <t>В РКС и МПКС</t>
  </si>
  <si>
    <t>рост в РКС и МПКС</t>
  </si>
  <si>
    <t>по бюджету</t>
  </si>
  <si>
    <t>рост с 01.04.2006</t>
  </si>
  <si>
    <t>посл.в-т</t>
  </si>
  <si>
    <t>II вариант</t>
  </si>
  <si>
    <t>МПКС</t>
  </si>
  <si>
    <t>РКС</t>
  </si>
  <si>
    <t>з-т</t>
  </si>
  <si>
    <t>Категория пенсионера</t>
  </si>
  <si>
    <t>На 1.01.2002</t>
  </si>
  <si>
    <t>На 1.02.2002</t>
  </si>
  <si>
    <t>На 1.08.2002</t>
  </si>
  <si>
    <t>Увеличение за 2002 г.</t>
  </si>
  <si>
    <t>На 1.02.2003</t>
  </si>
  <si>
    <t>На 1.08.2003</t>
  </si>
  <si>
    <t>Увеличение за 2003 г.</t>
  </si>
  <si>
    <t>На 1.04.2004</t>
  </si>
  <si>
    <t>Увеличение за 2004 г.</t>
  </si>
  <si>
    <t>На 1.08.2004</t>
  </si>
  <si>
    <t>на 01.03.2005</t>
  </si>
  <si>
    <t>Увеличение на 01.03.05</t>
  </si>
  <si>
    <t>на 1.03.2005</t>
  </si>
  <si>
    <t>мин.р-р район.коэф.=1,15</t>
  </si>
  <si>
    <t>ср.размеррайон.коэф.=1,38</t>
  </si>
  <si>
    <t>макс.р-р район.коэф.=2</t>
  </si>
  <si>
    <t>на 01.08.2005</t>
  </si>
  <si>
    <t>среднегод.2008</t>
  </si>
  <si>
    <t>на 01.04.2006</t>
  </si>
  <si>
    <t>бюджет в 1,06</t>
  </si>
  <si>
    <t>проект в 1,085</t>
  </si>
  <si>
    <t>на 01.04.2007</t>
  </si>
  <si>
    <t>увеличение с 01.04.07</t>
  </si>
  <si>
    <t>на 01.10.2007</t>
  </si>
  <si>
    <t>увеличение с 01.10.07</t>
  </si>
  <si>
    <t>увеличение за 2007</t>
  </si>
  <si>
    <t>на 01.04.08</t>
  </si>
  <si>
    <t>на 01.08.08</t>
  </si>
  <si>
    <t>на 01.04.09</t>
  </si>
  <si>
    <t>на 01.10.2009</t>
  </si>
  <si>
    <t>на 01.04.2010</t>
  </si>
  <si>
    <t>на 01.08.09</t>
  </si>
  <si>
    <t>ср.годовой размер в 2009</t>
  </si>
  <si>
    <t>Ср.год.размер мин.СЧ в 2009</t>
  </si>
  <si>
    <t xml:space="preserve">S </t>
  </si>
  <si>
    <t>СЧ, исходя из ПМП=3419</t>
  </si>
  <si>
    <t>р.к=1,15</t>
  </si>
  <si>
    <t>СЧ на 01.01.10 мин.</t>
  </si>
  <si>
    <t>СВ</t>
  </si>
  <si>
    <t>р.к.=1,2</t>
  </si>
  <si>
    <t>р.к.=1,3</t>
  </si>
  <si>
    <t>р.к.=1,4</t>
  </si>
  <si>
    <t>р.к.=1,5</t>
  </si>
  <si>
    <t>р.к.=1,6</t>
  </si>
  <si>
    <t>р.к.=1,7</t>
  </si>
  <si>
    <t>р.к.=1,8</t>
  </si>
  <si>
    <t>р.к.=2,0</t>
  </si>
  <si>
    <t>на 01.12.2007</t>
  </si>
  <si>
    <t>увеличение с 01.12.07</t>
  </si>
  <si>
    <t>на 01.02.2008</t>
  </si>
  <si>
    <t>увеличение с 01.02.08</t>
  </si>
  <si>
    <t>на 01.08.2008</t>
  </si>
  <si>
    <t>увеличение с 01.08.08</t>
  </si>
  <si>
    <t>Индексация</t>
  </si>
  <si>
    <t>БЧ+СЧ</t>
  </si>
  <si>
    <t>Обычный</t>
  </si>
  <si>
    <t xml:space="preserve"> без иждивенцев</t>
  </si>
  <si>
    <t xml:space="preserve"> с 1 иждивенцем</t>
  </si>
  <si>
    <t xml:space="preserve"> с 2 иждивенцами</t>
  </si>
  <si>
    <t xml:space="preserve"> с 3 и более иждивенцами</t>
  </si>
  <si>
    <t>Престарелый (80 лет и старше)</t>
  </si>
  <si>
    <t>По инвалидности 3 степени</t>
  </si>
  <si>
    <t xml:space="preserve">     с 1.01.2004 размер базовой части  трудовой пенсии лиц, проживающих в районах Крайнего Севера и местностях, приравненных к ним, определяются с применением районного коэффициента (централизованно установленного для непроизводственных отраслей). При вые</t>
  </si>
  <si>
    <t xml:space="preserve">Пенсия по инвалидности </t>
  </si>
  <si>
    <t>Увеличение на 01.02.05</t>
  </si>
  <si>
    <t xml:space="preserve">на 01.03.2005 </t>
  </si>
  <si>
    <t>среднегод.в 2008</t>
  </si>
  <si>
    <t>Размер ЕДВ</t>
  </si>
  <si>
    <t>ЕДВ+БЧ</t>
  </si>
  <si>
    <t>увеличение с 01.04.2007</t>
  </si>
  <si>
    <t>увеличение с 01.10.2007</t>
  </si>
  <si>
    <t>увеличение в 2007</t>
  </si>
  <si>
    <t>ЕДВ</t>
  </si>
  <si>
    <t>По инвалидности 2 степени</t>
  </si>
  <si>
    <t>По инвалидности 1 степени</t>
  </si>
  <si>
    <t>По потере кормильца</t>
  </si>
  <si>
    <t>На 1.03.2005</t>
  </si>
  <si>
    <t>На 01.08.2005</t>
  </si>
  <si>
    <t>Круглым сиротам</t>
  </si>
  <si>
    <t>Другим членам семьи</t>
  </si>
  <si>
    <t>Военнослужащие и члены их семей (установленные размеры без учета районного коэффициента)</t>
  </si>
  <si>
    <t>Норма по закону</t>
  </si>
  <si>
    <t>На 01.03.2005</t>
  </si>
  <si>
    <t>ЕДВ+ДЕМО</t>
  </si>
  <si>
    <t>Вследствие военной травмы</t>
  </si>
  <si>
    <t>300% БЧ по старости</t>
  </si>
  <si>
    <t>250% БЧ по старости</t>
  </si>
  <si>
    <t>175% БЧ по старости</t>
  </si>
  <si>
    <t>200% БЧ по старости</t>
  </si>
  <si>
    <t>Вследствие заболевания, полученного в период военной службы</t>
  </si>
  <si>
    <t>150% БЧ по старости</t>
  </si>
  <si>
    <t xml:space="preserve">     Размеры пенсий определяются с применением районного коэффициента. При выезде на новое постоянное место жительства размер пенсии определяется без учета р/к.</t>
  </si>
  <si>
    <r>
      <t>По инвалидности 1 степени</t>
    </r>
    <r>
      <rPr>
        <sz val="10"/>
        <rFont val="Arial Cyr"/>
        <family val="2"/>
      </rPr>
      <t xml:space="preserve"> </t>
    </r>
    <r>
      <rPr>
        <sz val="8"/>
        <rFont val="Arial CYR"/>
        <family val="2"/>
      </rPr>
      <t>(вне зависимости от числа иждивенцев)</t>
    </r>
  </si>
  <si>
    <t>Пенсии участников Великой Отечественной войны и социальные пенсии (установленные размеры без учета районного коэффициента)</t>
  </si>
  <si>
    <t>на 01.04.2009</t>
  </si>
  <si>
    <t>По инвалидности участникам ВОВ</t>
  </si>
  <si>
    <t>Социальные пенсии</t>
  </si>
  <si>
    <t xml:space="preserve"> - инвалиды 3 степени</t>
  </si>
  <si>
    <t>100% БЧ по инв. 3степ.</t>
  </si>
  <si>
    <t xml:space="preserve">   инвалиды 2 степени</t>
  </si>
  <si>
    <t>100% БЧ по старости, но не менее 470 руб.</t>
  </si>
  <si>
    <t xml:space="preserve">   инвалиды 1 степени</t>
  </si>
  <si>
    <t>85% БЧ по старости, но не менее 400 руб.</t>
  </si>
  <si>
    <t xml:space="preserve">   инвалиды с детства 3 степени</t>
  </si>
  <si>
    <t xml:space="preserve"> инвалиды с детства 2 степени</t>
  </si>
  <si>
    <t xml:space="preserve">   дети- инвалиды</t>
  </si>
  <si>
    <t xml:space="preserve"> - круглые сироты</t>
  </si>
  <si>
    <t xml:space="preserve">   дети, потерявшие 1 родителя</t>
  </si>
  <si>
    <t xml:space="preserve"> - из числа малочисленных народов Севера, достигших 55 и 50 лет (муж и жен)</t>
  </si>
  <si>
    <t>100% БЧ по старости</t>
  </si>
  <si>
    <t xml:space="preserve"> - граждане, достигшие возраста 65 и 60 лет (муж. и жен.)</t>
  </si>
  <si>
    <t xml:space="preserve">     В связи с тем, что пенсия по инвалидности вследствие военной травмы для участников ВОВ назначается по нормам для военнослужащих,  здесь имеется в виду инвалидность вследствие общего заболевания, не связанного с военной службой</t>
  </si>
  <si>
    <t>Пенсии пострадавших в результате радиационных или техногенных катастроф и членов их семей (установленные размеры без учета районного коэффициента)</t>
  </si>
  <si>
    <t xml:space="preserve">Ликвидаторы и инвалиды </t>
  </si>
  <si>
    <t>250% БЧ по стар.</t>
  </si>
  <si>
    <t>200% БЧ по стар.</t>
  </si>
  <si>
    <t xml:space="preserve">По инвалидности </t>
  </si>
  <si>
    <t>250% БЧ по инвал.</t>
  </si>
  <si>
    <t>3 степени</t>
  </si>
  <si>
    <t>2 степени</t>
  </si>
  <si>
    <t>1 степени,</t>
  </si>
  <si>
    <t>но не менее 660 руб.</t>
  </si>
  <si>
    <t xml:space="preserve">250% БЧ по потере </t>
  </si>
  <si>
    <t>кормильца,</t>
  </si>
  <si>
    <r>
      <t xml:space="preserve">другие категории </t>
    </r>
    <r>
      <rPr>
        <sz val="8"/>
        <rFont val="Arial CYR"/>
        <family val="2"/>
      </rPr>
      <t>(проживающие и работающие)</t>
    </r>
  </si>
  <si>
    <t>Пенсии лиц, награжденных знаком "Жителю блокадного Ленинграда" (установленные размеры без учета районного коэффциента)</t>
  </si>
  <si>
    <t>на 01.01.07</t>
  </si>
  <si>
    <t>на 01.04.07</t>
  </si>
  <si>
    <t>на 01.10.07</t>
  </si>
  <si>
    <t>По инвалидности гражданам, награжденным знаком "Жителю блокадного Ленинграда"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</si>
</sst>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  <numFmt numFmtId="171" formatCode="0.00_ ;\-0.00\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d/mm/yy"/>
    <numFmt numFmtId="176" formatCode="0.000000000"/>
  </numFmts>
  <fonts count="12">
    <font>
      <sz val="10"/>
      <name val="Arial Cyr"/>
      <family val="0"/>
    </font>
    <font>
      <b/>
      <sz val="11"/>
      <name val="Arial Cyr"/>
      <family val="2"/>
    </font>
    <font>
      <b/>
      <sz val="10"/>
      <name val="Arial Cyr"/>
      <family val="2"/>
    </font>
    <font>
      <b/>
      <u val="single"/>
      <sz val="10"/>
      <name val="Arial Cyr"/>
      <family val="2"/>
    </font>
    <font>
      <b/>
      <sz val="14"/>
      <name val="Symbol"/>
      <family val="1"/>
    </font>
    <font>
      <i/>
      <sz val="10"/>
      <name val="Arial Cyr"/>
      <family val="2"/>
    </font>
    <font>
      <b/>
      <i/>
      <sz val="10"/>
      <name val="Arial Cyr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2"/>
    </font>
    <font>
      <sz val="9"/>
      <name val="Arial CYR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7" fontId="6" fillId="0" borderId="3" xfId="0" applyNumberFormat="1" applyFont="1" applyBorder="1" applyAlignment="1">
      <alignment horizontal="center"/>
    </xf>
    <xf numFmtId="169" fontId="6" fillId="0" borderId="3" xfId="0" applyNumberFormat="1" applyFont="1" applyBorder="1" applyAlignment="1">
      <alignment horizontal="center"/>
    </xf>
    <xf numFmtId="170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170" fontId="6" fillId="0" borderId="6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8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2" fillId="0" borderId="8" xfId="0" applyNumberFormat="1" applyFont="1" applyBorder="1" applyAlignment="1">
      <alignment/>
    </xf>
    <xf numFmtId="2" fontId="0" fillId="0" borderId="8" xfId="0" applyNumberFormat="1" applyBorder="1" applyAlignment="1">
      <alignment/>
    </xf>
    <xf numFmtId="0" fontId="0" fillId="0" borderId="8" xfId="0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0" xfId="0" applyFill="1" applyAlignment="1">
      <alignment/>
    </xf>
    <xf numFmtId="2" fontId="0" fillId="0" borderId="9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/>
    </xf>
    <xf numFmtId="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0" xfId="0" applyNumberForma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175" fontId="2" fillId="0" borderId="3" xfId="0" applyNumberFormat="1" applyFont="1" applyBorder="1" applyAlignment="1">
      <alignment horizontal="center" wrapText="1"/>
    </xf>
    <xf numFmtId="170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2" fontId="6" fillId="0" borderId="3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70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2" fontId="0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2" fillId="0" borderId="3" xfId="0" applyNumberFormat="1" applyFont="1" applyBorder="1" applyAlignment="1">
      <alignment horizontal="center"/>
    </xf>
    <xf numFmtId="170" fontId="5" fillId="0" borderId="6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2" fontId="0" fillId="0" borderId="3" xfId="0" applyNumberFormat="1" applyBorder="1" applyAlignment="1">
      <alignment/>
    </xf>
    <xf numFmtId="170" fontId="2" fillId="0" borderId="3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2" fontId="6" fillId="0" borderId="7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67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1" fontId="0" fillId="0" borderId="8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2" fontId="0" fillId="0" borderId="13" xfId="0" applyNumberFormat="1" applyFill="1" applyBorder="1" applyAlignment="1">
      <alignment horizontal="center"/>
    </xf>
    <xf numFmtId="0" fontId="2" fillId="0" borderId="13" xfId="0" applyFont="1" applyBorder="1" applyAlignment="1">
      <alignment/>
    </xf>
    <xf numFmtId="1" fontId="0" fillId="0" borderId="8" xfId="0" applyNumberFormat="1" applyBorder="1" applyAlignment="1">
      <alignment/>
    </xf>
    <xf numFmtId="0" fontId="2" fillId="0" borderId="6" xfId="0" applyFont="1" applyBorder="1" applyAlignment="1">
      <alignment/>
    </xf>
    <xf numFmtId="2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1" xfId="0" applyBorder="1" applyAlignment="1">
      <alignment horizontal="center"/>
    </xf>
    <xf numFmtId="1" fontId="0" fillId="0" borderId="6" xfId="0" applyNumberFormat="1" applyBorder="1" applyAlignment="1">
      <alignment/>
    </xf>
    <xf numFmtId="1" fontId="0" fillId="0" borderId="2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ont="1" applyBorder="1" applyAlignment="1">
      <alignment/>
    </xf>
    <xf numFmtId="2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1" fontId="0" fillId="0" borderId="6" xfId="0" applyNumberFormat="1" applyBorder="1" applyAlignment="1">
      <alignment horizontal="center"/>
    </xf>
    <xf numFmtId="0" fontId="2" fillId="0" borderId="8" xfId="0" applyFont="1" applyBorder="1" applyAlignment="1">
      <alignment wrapText="1"/>
    </xf>
    <xf numFmtId="171" fontId="0" fillId="0" borderId="8" xfId="18" applyNumberForma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14" fontId="0" fillId="0" borderId="6" xfId="0" applyNumberFormat="1" applyBorder="1" applyAlignment="1">
      <alignment horizontal="center"/>
    </xf>
    <xf numFmtId="170" fontId="6" fillId="0" borderId="4" xfId="0" applyNumberFormat="1" applyFont="1" applyBorder="1" applyAlignment="1">
      <alignment/>
    </xf>
    <xf numFmtId="0" fontId="2" fillId="0" borderId="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44;&#1086;&#1082;&#1091;&#1084;&#1077;&#1085;&#1090;&#1099;_&#1052;\&#1088;&#1072;&#1089;&#1095;&#1077;&#1090;&#1099;\&#1089;&#1086;&#1074;&#1077;&#1088;&#1096;_2008_&#1052;&#1047;_&#1085;&#1086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44;&#1086;&#1082;&#1091;&#1084;&#1077;&#1085;&#1090;&#1099;_&#1052;\&#1088;&#1072;&#1089;&#1095;&#1077;&#1090;&#1099;\&#1056;&#1072;&#1079;&#1084;&#1077;&#1088;&#1099;%20&#1073;&#1072;&#1079;_&#1095;&#1072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ределение "/>
      <sheetName val="ПМП"/>
      <sheetName val="возрастные группы"/>
      <sheetName val="старость"/>
      <sheetName val="старость_доплаты2008"/>
      <sheetName val="СПК"/>
      <sheetName val="инвалиды"/>
      <sheetName val="Лист2"/>
      <sheetName val="социальн"/>
      <sheetName val="Лист1"/>
      <sheetName val="продолж.инвал"/>
      <sheetName val="показатели"/>
      <sheetName val="1 вариант"/>
      <sheetName val="2 вариант"/>
      <sheetName val="3 вариант"/>
      <sheetName val="4 вариант"/>
      <sheetName val="5 вариант"/>
    </sheetNames>
    <sheetDataSet>
      <sheetData sheetId="4">
        <row r="2">
          <cell r="C2">
            <v>1.2784</v>
          </cell>
          <cell r="D2">
            <v>1.1085</v>
          </cell>
        </row>
        <row r="4">
          <cell r="C4">
            <v>1.1236</v>
          </cell>
          <cell r="D4">
            <v>1.0468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уд_по старости"/>
      <sheetName val="Труд_по инв(потере корм)"/>
      <sheetName val="Гос_обесп(военнослуж) "/>
      <sheetName val="Гос_обесп(участн. ВОВ и социал)"/>
      <sheetName val="Гос_обесп(радиац.катастрофы)"/>
      <sheetName val="блокадники"/>
      <sheetName val="Лист1"/>
      <sheetName val="Лист2"/>
    </sheetNames>
    <sheetDataSet>
      <sheetData sheetId="0">
        <row r="6">
          <cell r="M6">
            <v>1.36363636</v>
          </cell>
          <cell r="AL6">
            <v>1.1464680658993456</v>
          </cell>
          <cell r="AR6">
            <v>1.1269918274433706</v>
          </cell>
          <cell r="AS6">
            <v>1.0970734908136481</v>
          </cell>
        </row>
        <row r="8">
          <cell r="B8">
            <v>450</v>
          </cell>
          <cell r="C8">
            <v>479.25</v>
          </cell>
          <cell r="D8">
            <v>522.38</v>
          </cell>
          <cell r="F8">
            <v>553.72</v>
          </cell>
          <cell r="G8">
            <v>598.02</v>
          </cell>
          <cell r="I8">
            <v>621</v>
          </cell>
          <cell r="K8">
            <v>660</v>
          </cell>
          <cell r="M8">
            <v>900</v>
          </cell>
          <cell r="O8">
            <v>900</v>
          </cell>
          <cell r="X8">
            <v>954</v>
          </cell>
          <cell r="AA8">
            <v>1035.09</v>
          </cell>
          <cell r="AD8">
            <v>1112.72</v>
          </cell>
          <cell r="AF8">
            <v>1260</v>
          </cell>
          <cell r="AI8">
            <v>1348.2</v>
          </cell>
          <cell r="AJ8">
            <v>1329.3</v>
          </cell>
          <cell r="AK8">
            <v>1545</v>
          </cell>
          <cell r="AL8">
            <v>1524</v>
          </cell>
          <cell r="AM8">
            <v>1650.06</v>
          </cell>
          <cell r="AN8">
            <v>1950</v>
          </cell>
          <cell r="AO8">
            <v>2076.75</v>
          </cell>
          <cell r="AQ8">
            <v>1607.82</v>
          </cell>
          <cell r="AR8">
            <v>1812</v>
          </cell>
          <cell r="AS8">
            <v>1671.94</v>
          </cell>
          <cell r="BP8">
            <v>1560</v>
          </cell>
          <cell r="BR8">
            <v>1452</v>
          </cell>
          <cell r="BT8">
            <v>1794</v>
          </cell>
          <cell r="DE8">
            <v>1650.06</v>
          </cell>
          <cell r="DF8">
            <v>1950</v>
          </cell>
        </row>
        <row r="9">
          <cell r="B9">
            <v>600</v>
          </cell>
          <cell r="C9">
            <v>639</v>
          </cell>
          <cell r="D9">
            <v>696.51</v>
          </cell>
          <cell r="F9">
            <v>738.3</v>
          </cell>
          <cell r="G9">
            <v>797.36</v>
          </cell>
          <cell r="I9">
            <v>828</v>
          </cell>
          <cell r="K9">
            <v>880</v>
          </cell>
          <cell r="M9">
            <v>1200</v>
          </cell>
          <cell r="O9">
            <v>1200</v>
          </cell>
          <cell r="X9">
            <v>1272</v>
          </cell>
          <cell r="AA9">
            <v>1380.12</v>
          </cell>
          <cell r="AD9">
            <v>1483.63</v>
          </cell>
          <cell r="AF9">
            <v>1680</v>
          </cell>
          <cell r="AI9">
            <v>1797.6</v>
          </cell>
          <cell r="AJ9">
            <v>1772.4</v>
          </cell>
          <cell r="AK9">
            <v>2060</v>
          </cell>
          <cell r="AL9">
            <v>2032</v>
          </cell>
          <cell r="AM9">
            <v>2200.08</v>
          </cell>
          <cell r="AN9">
            <v>2600</v>
          </cell>
          <cell r="AO9">
            <v>2769</v>
          </cell>
          <cell r="AQ9">
            <v>2143.76</v>
          </cell>
          <cell r="AR9">
            <v>2416</v>
          </cell>
          <cell r="AS9">
            <v>2229.25</v>
          </cell>
          <cell r="BP9">
            <v>2080</v>
          </cell>
          <cell r="BR9">
            <v>1936</v>
          </cell>
          <cell r="BT9">
            <v>2392</v>
          </cell>
          <cell r="DE9">
            <v>2200.08</v>
          </cell>
          <cell r="DF9">
            <v>2600</v>
          </cell>
        </row>
        <row r="10">
          <cell r="B10">
            <v>750</v>
          </cell>
          <cell r="C10">
            <v>798.75</v>
          </cell>
          <cell r="D10">
            <v>870.64</v>
          </cell>
          <cell r="F10">
            <v>922.88</v>
          </cell>
          <cell r="G10">
            <v>996.71</v>
          </cell>
          <cell r="I10">
            <v>1035.01</v>
          </cell>
          <cell r="K10">
            <v>1100.01</v>
          </cell>
          <cell r="M10">
            <v>1500.01</v>
          </cell>
          <cell r="O10">
            <v>1500</v>
          </cell>
          <cell r="X10">
            <v>1590</v>
          </cell>
          <cell r="AA10">
            <v>1725.1499999999999</v>
          </cell>
          <cell r="AD10">
            <v>1854.54</v>
          </cell>
          <cell r="AF10">
            <v>2100</v>
          </cell>
          <cell r="AI10">
            <v>2247</v>
          </cell>
          <cell r="AJ10">
            <v>2215.5</v>
          </cell>
          <cell r="AK10">
            <v>2575</v>
          </cell>
          <cell r="AL10">
            <v>2540</v>
          </cell>
          <cell r="AM10">
            <v>2750.1</v>
          </cell>
          <cell r="AN10">
            <v>3250</v>
          </cell>
          <cell r="AO10">
            <v>3461.25</v>
          </cell>
          <cell r="AQ10">
            <v>2679.7</v>
          </cell>
          <cell r="AR10">
            <v>3020</v>
          </cell>
          <cell r="AS10">
            <v>2786.57</v>
          </cell>
          <cell r="BP10">
            <v>2600</v>
          </cell>
          <cell r="BR10">
            <v>2420</v>
          </cell>
          <cell r="BT10">
            <v>2990</v>
          </cell>
          <cell r="DE10">
            <v>2750.1</v>
          </cell>
          <cell r="DF10">
            <v>3250</v>
          </cell>
        </row>
        <row r="11">
          <cell r="B11">
            <v>900</v>
          </cell>
          <cell r="C11">
            <v>958.5</v>
          </cell>
          <cell r="D11">
            <v>1044.77</v>
          </cell>
          <cell r="F11">
            <v>1107.46</v>
          </cell>
          <cell r="G11">
            <v>1196.06</v>
          </cell>
          <cell r="I11">
            <v>1242.02</v>
          </cell>
          <cell r="K11">
            <v>1320.02</v>
          </cell>
          <cell r="M11">
            <v>1800.03</v>
          </cell>
          <cell r="O11">
            <v>1800</v>
          </cell>
          <cell r="X11">
            <v>1908</v>
          </cell>
          <cell r="AA11">
            <v>2070.18</v>
          </cell>
          <cell r="AD11">
            <v>2225.44</v>
          </cell>
          <cell r="AF11">
            <v>2520</v>
          </cell>
          <cell r="AI11">
            <v>2696.4</v>
          </cell>
          <cell r="AJ11">
            <v>2658.6</v>
          </cell>
          <cell r="AK11">
            <v>3090</v>
          </cell>
          <cell r="AL11">
            <v>3048</v>
          </cell>
          <cell r="AM11">
            <v>3300.12</v>
          </cell>
          <cell r="AN11">
            <v>3900</v>
          </cell>
          <cell r="AO11">
            <v>4153.5</v>
          </cell>
          <cell r="AQ11">
            <v>3215.64</v>
          </cell>
          <cell r="AR11">
            <v>3624</v>
          </cell>
          <cell r="AS11">
            <v>3343.88</v>
          </cell>
          <cell r="BP11">
            <v>3120</v>
          </cell>
          <cell r="BR11">
            <v>2904</v>
          </cell>
          <cell r="BT11">
            <v>3588</v>
          </cell>
          <cell r="DE11">
            <v>3300.12</v>
          </cell>
          <cell r="DF11">
            <v>3900.0000060252</v>
          </cell>
        </row>
        <row r="12">
          <cell r="G12">
            <v>0</v>
          </cell>
        </row>
        <row r="13">
          <cell r="BP13">
            <v>3120</v>
          </cell>
          <cell r="BT13">
            <v>3588</v>
          </cell>
        </row>
        <row r="14">
          <cell r="BP14">
            <v>3640</v>
          </cell>
          <cell r="BT14">
            <v>4186</v>
          </cell>
        </row>
        <row r="15">
          <cell r="BP15">
            <v>4160</v>
          </cell>
          <cell r="BT15">
            <v>4784</v>
          </cell>
        </row>
        <row r="16">
          <cell r="BP16">
            <v>4680</v>
          </cell>
          <cell r="BT16">
            <v>5382</v>
          </cell>
        </row>
      </sheetData>
      <sheetData sheetId="1">
        <row r="6">
          <cell r="L6">
            <v>1.1036</v>
          </cell>
          <cell r="M6">
            <v>1.36363636</v>
          </cell>
          <cell r="AL6">
            <v>1.1459724076546507</v>
          </cell>
        </row>
        <row r="8">
          <cell r="B8">
            <v>900</v>
          </cell>
          <cell r="C8">
            <v>958.5</v>
          </cell>
          <cell r="D8">
            <v>1044.77</v>
          </cell>
          <cell r="F8">
            <v>1107.46</v>
          </cell>
          <cell r="G8">
            <v>1196.06</v>
          </cell>
          <cell r="I8">
            <v>1242.02</v>
          </cell>
          <cell r="K8">
            <v>1320.02</v>
          </cell>
          <cell r="M8">
            <v>1800.03</v>
          </cell>
          <cell r="O8">
            <v>1800</v>
          </cell>
          <cell r="W8">
            <v>1908</v>
          </cell>
          <cell r="AB8">
            <v>2070.18</v>
          </cell>
          <cell r="AE8">
            <v>2225.44</v>
          </cell>
          <cell r="AG8">
            <v>2520</v>
          </cell>
          <cell r="AJ8">
            <v>2696.4</v>
          </cell>
          <cell r="AK8">
            <v>2658.6</v>
          </cell>
          <cell r="AL8">
            <v>3090</v>
          </cell>
          <cell r="AM8">
            <v>3048</v>
          </cell>
          <cell r="AN8">
            <v>3215.64</v>
          </cell>
          <cell r="AO8">
            <v>3624</v>
          </cell>
          <cell r="AP8">
            <v>3343.88</v>
          </cell>
          <cell r="BL8">
            <v>3300.12</v>
          </cell>
          <cell r="BM8">
            <v>3900</v>
          </cell>
          <cell r="BO8">
            <v>3120</v>
          </cell>
          <cell r="BQ8">
            <v>2904</v>
          </cell>
          <cell r="BS8">
            <v>3588</v>
          </cell>
        </row>
        <row r="9">
          <cell r="B9">
            <v>1050</v>
          </cell>
          <cell r="C9">
            <v>1118.25</v>
          </cell>
          <cell r="D9">
            <v>1218.89</v>
          </cell>
          <cell r="F9">
            <v>1292.02</v>
          </cell>
          <cell r="K9">
            <v>1540</v>
          </cell>
          <cell r="M9">
            <v>2100</v>
          </cell>
          <cell r="O9">
            <v>2100</v>
          </cell>
          <cell r="W9">
            <v>2226</v>
          </cell>
          <cell r="AB9">
            <v>2415.21</v>
          </cell>
          <cell r="AE9">
            <v>2596.35</v>
          </cell>
          <cell r="AG9">
            <v>2940</v>
          </cell>
          <cell r="AJ9">
            <v>3145.8</v>
          </cell>
          <cell r="AK9">
            <v>3101.7</v>
          </cell>
          <cell r="AL9">
            <v>3605</v>
          </cell>
          <cell r="AM9">
            <v>3556</v>
          </cell>
          <cell r="AN9">
            <v>3751.58</v>
          </cell>
          <cell r="AO9">
            <v>4228</v>
          </cell>
          <cell r="AP9">
            <v>3901.19</v>
          </cell>
          <cell r="BL9">
            <v>3850.14</v>
          </cell>
          <cell r="BM9">
            <v>4550</v>
          </cell>
          <cell r="BO9">
            <v>3640</v>
          </cell>
          <cell r="BQ9">
            <v>3388</v>
          </cell>
          <cell r="BS9">
            <v>4186</v>
          </cell>
        </row>
        <row r="10">
          <cell r="B10">
            <v>1200</v>
          </cell>
          <cell r="C10">
            <v>1278</v>
          </cell>
          <cell r="D10">
            <v>1393.02</v>
          </cell>
          <cell r="F10">
            <v>1476.6</v>
          </cell>
          <cell r="K10">
            <v>1760.01</v>
          </cell>
          <cell r="M10">
            <v>2400.01</v>
          </cell>
          <cell r="O10">
            <v>2400</v>
          </cell>
          <cell r="W10">
            <v>2544</v>
          </cell>
          <cell r="AB10">
            <v>2760.24</v>
          </cell>
          <cell r="AE10">
            <v>2967.26</v>
          </cell>
          <cell r="AG10">
            <v>3360</v>
          </cell>
          <cell r="AJ10">
            <v>3595.2</v>
          </cell>
          <cell r="AK10">
            <v>3544.8</v>
          </cell>
          <cell r="AL10">
            <v>4120</v>
          </cell>
          <cell r="AM10">
            <v>4064</v>
          </cell>
          <cell r="AN10">
            <v>4287.52</v>
          </cell>
          <cell r="AO10">
            <v>4832</v>
          </cell>
          <cell r="AP10">
            <v>4458.51</v>
          </cell>
          <cell r="BL10">
            <v>4400.16</v>
          </cell>
          <cell r="BM10">
            <v>5200</v>
          </cell>
          <cell r="BO10">
            <v>4160</v>
          </cell>
          <cell r="BQ10">
            <v>3872</v>
          </cell>
          <cell r="BS10">
            <v>4784</v>
          </cell>
        </row>
        <row r="11">
          <cell r="B11">
            <v>1350</v>
          </cell>
          <cell r="C11">
            <v>1437.75</v>
          </cell>
          <cell r="D11">
            <v>1567.15</v>
          </cell>
          <cell r="F11">
            <v>1661.18</v>
          </cell>
          <cell r="K11">
            <v>1980.01</v>
          </cell>
          <cell r="M11">
            <v>2700.01</v>
          </cell>
          <cell r="O11">
            <v>2700</v>
          </cell>
          <cell r="W11">
            <v>2862</v>
          </cell>
          <cell r="AB11">
            <v>3105.27</v>
          </cell>
          <cell r="AE11">
            <v>3338.17</v>
          </cell>
          <cell r="AG11">
            <v>3780</v>
          </cell>
          <cell r="AJ11">
            <v>4044.6</v>
          </cell>
          <cell r="AK11">
            <v>3987.9</v>
          </cell>
          <cell r="AL11">
            <v>4635</v>
          </cell>
          <cell r="AM11">
            <v>4572</v>
          </cell>
          <cell r="AN11">
            <v>4823.46</v>
          </cell>
          <cell r="AO11">
            <v>5436</v>
          </cell>
          <cell r="AP11">
            <v>5015.82</v>
          </cell>
          <cell r="BL11">
            <v>4950.18</v>
          </cell>
          <cell r="BM11">
            <v>5850</v>
          </cell>
          <cell r="BO11">
            <v>4680</v>
          </cell>
          <cell r="BQ11">
            <v>4356</v>
          </cell>
          <cell r="BS11">
            <v>5382</v>
          </cell>
        </row>
        <row r="13">
          <cell r="B13">
            <v>450</v>
          </cell>
          <cell r="C13">
            <v>479.25</v>
          </cell>
          <cell r="D13">
            <v>522.38</v>
          </cell>
          <cell r="F13">
            <v>553.72</v>
          </cell>
          <cell r="K13">
            <v>660</v>
          </cell>
          <cell r="M13">
            <v>900</v>
          </cell>
          <cell r="O13">
            <v>900</v>
          </cell>
          <cell r="W13">
            <v>954</v>
          </cell>
          <cell r="AB13">
            <v>1035.09</v>
          </cell>
          <cell r="AE13">
            <v>1112.72</v>
          </cell>
          <cell r="AG13">
            <v>1260</v>
          </cell>
          <cell r="AJ13">
            <v>1348.2</v>
          </cell>
          <cell r="AK13">
            <v>1329.3</v>
          </cell>
          <cell r="AL13">
            <v>1545</v>
          </cell>
          <cell r="AM13">
            <v>1524</v>
          </cell>
          <cell r="AN13">
            <v>1607.82</v>
          </cell>
          <cell r="AO13">
            <v>1812</v>
          </cell>
          <cell r="AP13">
            <v>1671.94</v>
          </cell>
          <cell r="BL13">
            <v>1650.06</v>
          </cell>
          <cell r="BM13">
            <v>1950</v>
          </cell>
          <cell r="BO13">
            <v>1560</v>
          </cell>
          <cell r="BQ13">
            <v>1452</v>
          </cell>
          <cell r="BS13">
            <v>1794</v>
          </cell>
        </row>
        <row r="14">
          <cell r="B14">
            <v>600</v>
          </cell>
          <cell r="C14">
            <v>639</v>
          </cell>
          <cell r="D14">
            <v>696.51</v>
          </cell>
          <cell r="F14">
            <v>738.3</v>
          </cell>
          <cell r="K14">
            <v>880</v>
          </cell>
          <cell r="M14">
            <v>1200</v>
          </cell>
          <cell r="O14">
            <v>1200</v>
          </cell>
          <cell r="W14">
            <v>1272</v>
          </cell>
          <cell r="AB14">
            <v>1380.12</v>
          </cell>
          <cell r="AE14">
            <v>1483.63</v>
          </cell>
          <cell r="AG14">
            <v>1680</v>
          </cell>
          <cell r="AJ14">
            <v>1797.6</v>
          </cell>
          <cell r="AK14">
            <v>1772.4</v>
          </cell>
          <cell r="AL14">
            <v>2060</v>
          </cell>
          <cell r="AM14">
            <v>2032</v>
          </cell>
          <cell r="AN14">
            <v>2143.76</v>
          </cell>
          <cell r="AO14">
            <v>2416</v>
          </cell>
          <cell r="AP14">
            <v>2229.25</v>
          </cell>
          <cell r="BL14">
            <v>2200.08</v>
          </cell>
          <cell r="BM14">
            <v>2600</v>
          </cell>
          <cell r="BO14">
            <v>2080</v>
          </cell>
          <cell r="BQ14">
            <v>1936</v>
          </cell>
          <cell r="BS14">
            <v>2392</v>
          </cell>
        </row>
        <row r="15">
          <cell r="B15">
            <v>750</v>
          </cell>
          <cell r="C15">
            <v>798.75</v>
          </cell>
          <cell r="D15">
            <v>870.64</v>
          </cell>
          <cell r="F15">
            <v>922.88</v>
          </cell>
          <cell r="K15">
            <v>1100.01</v>
          </cell>
          <cell r="M15">
            <v>1500.01</v>
          </cell>
          <cell r="O15">
            <v>1500</v>
          </cell>
          <cell r="W15">
            <v>1590</v>
          </cell>
          <cell r="AB15">
            <v>1725.1499999999999</v>
          </cell>
          <cell r="AE15">
            <v>1854.54</v>
          </cell>
          <cell r="AG15">
            <v>2100</v>
          </cell>
          <cell r="AJ15">
            <v>2247</v>
          </cell>
          <cell r="AK15">
            <v>2215.5</v>
          </cell>
          <cell r="AL15">
            <v>2575</v>
          </cell>
          <cell r="AM15">
            <v>2540</v>
          </cell>
          <cell r="AN15">
            <v>2679.7</v>
          </cell>
          <cell r="AO15">
            <v>3020</v>
          </cell>
          <cell r="AP15">
            <v>2786.57</v>
          </cell>
          <cell r="BL15">
            <v>2750.1</v>
          </cell>
          <cell r="BM15">
            <v>3250</v>
          </cell>
          <cell r="BO15">
            <v>2600</v>
          </cell>
          <cell r="BQ15">
            <v>2420</v>
          </cell>
          <cell r="BS15">
            <v>2990</v>
          </cell>
        </row>
        <row r="16">
          <cell r="B16">
            <v>900</v>
          </cell>
          <cell r="C16">
            <v>958.5</v>
          </cell>
          <cell r="D16">
            <v>1044.77</v>
          </cell>
          <cell r="F16">
            <v>1107.46</v>
          </cell>
          <cell r="K16">
            <v>1320.02</v>
          </cell>
          <cell r="M16">
            <v>1800.03</v>
          </cell>
          <cell r="O16">
            <v>1800</v>
          </cell>
          <cell r="W16">
            <v>1908</v>
          </cell>
          <cell r="AB16">
            <v>2070.18</v>
          </cell>
          <cell r="AE16">
            <v>2225.44</v>
          </cell>
          <cell r="AG16">
            <v>2520</v>
          </cell>
          <cell r="AJ16">
            <v>2696.4</v>
          </cell>
          <cell r="AK16">
            <v>2658.6</v>
          </cell>
          <cell r="AL16">
            <v>3090</v>
          </cell>
          <cell r="AM16">
            <v>3048</v>
          </cell>
          <cell r="AN16">
            <v>3215.64</v>
          </cell>
          <cell r="AO16">
            <v>3624</v>
          </cell>
          <cell r="AP16">
            <v>3343.88</v>
          </cell>
          <cell r="BL16">
            <v>3300.12</v>
          </cell>
          <cell r="BM16">
            <v>3900</v>
          </cell>
          <cell r="BO16">
            <v>3120</v>
          </cell>
          <cell r="BQ16">
            <v>2904</v>
          </cell>
          <cell r="BS16">
            <v>3588</v>
          </cell>
        </row>
        <row r="18">
          <cell r="B18">
            <v>225</v>
          </cell>
          <cell r="C18">
            <v>239.63</v>
          </cell>
          <cell r="D18">
            <v>261.2</v>
          </cell>
          <cell r="F18">
            <v>276.87</v>
          </cell>
          <cell r="K18">
            <v>330.01</v>
          </cell>
          <cell r="M18">
            <v>450.01</v>
          </cell>
          <cell r="O18">
            <v>450</v>
          </cell>
          <cell r="W18">
            <v>477</v>
          </cell>
          <cell r="AB18">
            <v>517.545</v>
          </cell>
          <cell r="AE18">
            <v>556.36</v>
          </cell>
          <cell r="AG18">
            <v>630</v>
          </cell>
          <cell r="AJ18">
            <v>674.1</v>
          </cell>
          <cell r="AK18">
            <v>664.65</v>
          </cell>
          <cell r="AL18">
            <v>772.5</v>
          </cell>
          <cell r="AM18">
            <v>762</v>
          </cell>
          <cell r="AN18">
            <v>803.91</v>
          </cell>
          <cell r="AO18">
            <v>906</v>
          </cell>
          <cell r="AP18">
            <v>835.97</v>
          </cell>
          <cell r="BL18">
            <v>825.03</v>
          </cell>
          <cell r="BM18">
            <v>975</v>
          </cell>
          <cell r="BO18">
            <v>780</v>
          </cell>
          <cell r="BQ18">
            <v>726</v>
          </cell>
          <cell r="BS18">
            <v>897</v>
          </cell>
        </row>
        <row r="19">
          <cell r="B19">
            <v>375</v>
          </cell>
          <cell r="C19">
            <v>399.38</v>
          </cell>
          <cell r="D19">
            <v>435.32</v>
          </cell>
          <cell r="F19">
            <v>461.44</v>
          </cell>
          <cell r="K19">
            <v>550.01</v>
          </cell>
          <cell r="M19">
            <v>750.01</v>
          </cell>
          <cell r="O19">
            <v>750</v>
          </cell>
          <cell r="W19">
            <v>795</v>
          </cell>
          <cell r="AB19">
            <v>862.5749999999999</v>
          </cell>
          <cell r="AE19">
            <v>927.27</v>
          </cell>
          <cell r="AG19">
            <v>1050</v>
          </cell>
          <cell r="AJ19">
            <v>1123.5</v>
          </cell>
          <cell r="AK19">
            <v>1107.75</v>
          </cell>
          <cell r="AL19">
            <v>1287.5</v>
          </cell>
          <cell r="AM19">
            <v>1270</v>
          </cell>
          <cell r="AN19">
            <v>1339.85</v>
          </cell>
          <cell r="AO19">
            <v>1510</v>
          </cell>
          <cell r="AP19">
            <v>1393.28</v>
          </cell>
          <cell r="BL19">
            <v>1375.05</v>
          </cell>
          <cell r="BM19">
            <v>1625</v>
          </cell>
          <cell r="BO19">
            <v>1300</v>
          </cell>
          <cell r="BQ19">
            <v>1210</v>
          </cell>
          <cell r="BS19">
            <v>1495</v>
          </cell>
        </row>
        <row r="20">
          <cell r="B20">
            <v>525</v>
          </cell>
          <cell r="C20">
            <v>559.13</v>
          </cell>
          <cell r="D20">
            <v>609.45</v>
          </cell>
          <cell r="F20">
            <v>646.02</v>
          </cell>
          <cell r="K20">
            <v>770.01</v>
          </cell>
          <cell r="M20">
            <v>1050.01</v>
          </cell>
          <cell r="O20">
            <v>1050</v>
          </cell>
          <cell r="W20">
            <v>1113</v>
          </cell>
          <cell r="AB20">
            <v>1207.605</v>
          </cell>
          <cell r="AE20">
            <v>1298.18</v>
          </cell>
          <cell r="AG20">
            <v>1470</v>
          </cell>
          <cell r="AJ20">
            <v>1572.9</v>
          </cell>
          <cell r="AK20">
            <v>1550.85</v>
          </cell>
          <cell r="AL20">
            <v>1802.5</v>
          </cell>
          <cell r="AM20">
            <v>1778</v>
          </cell>
          <cell r="AN20">
            <v>1875.79</v>
          </cell>
          <cell r="AO20">
            <v>2114</v>
          </cell>
          <cell r="AP20">
            <v>1950.6</v>
          </cell>
          <cell r="BL20">
            <v>1925.07</v>
          </cell>
          <cell r="BM20">
            <v>2275</v>
          </cell>
          <cell r="BO20">
            <v>1820</v>
          </cell>
          <cell r="BQ20">
            <v>1694</v>
          </cell>
          <cell r="BS20">
            <v>2093</v>
          </cell>
        </row>
        <row r="21">
          <cell r="B21">
            <v>675</v>
          </cell>
          <cell r="C21">
            <v>718.88</v>
          </cell>
          <cell r="D21">
            <v>783.58</v>
          </cell>
          <cell r="F21">
            <v>830.59</v>
          </cell>
          <cell r="K21">
            <v>990.01</v>
          </cell>
          <cell r="M21">
            <v>1350.01</v>
          </cell>
          <cell r="O21">
            <v>1350</v>
          </cell>
          <cell r="W21">
            <v>1431</v>
          </cell>
          <cell r="AB21">
            <v>1552.635</v>
          </cell>
          <cell r="AE21">
            <v>1669.08</v>
          </cell>
          <cell r="AG21">
            <v>1890</v>
          </cell>
          <cell r="AJ21">
            <v>2022.3</v>
          </cell>
          <cell r="AK21">
            <v>1993.95</v>
          </cell>
          <cell r="AL21">
            <v>2317.5</v>
          </cell>
          <cell r="AM21">
            <v>2286</v>
          </cell>
          <cell r="AN21">
            <v>2411.73</v>
          </cell>
          <cell r="AO21">
            <v>2718</v>
          </cell>
          <cell r="AP21">
            <v>2507.91</v>
          </cell>
          <cell r="BL21">
            <v>2475.09</v>
          </cell>
          <cell r="BM21">
            <v>2925</v>
          </cell>
          <cell r="BO21">
            <v>2340</v>
          </cell>
          <cell r="BQ21">
            <v>2178</v>
          </cell>
          <cell r="BS21">
            <v>2691</v>
          </cell>
        </row>
        <row r="27">
          <cell r="BM27">
            <v>1.18177521</v>
          </cell>
          <cell r="BS27">
            <v>1.15</v>
          </cell>
        </row>
        <row r="28">
          <cell r="B28">
            <v>450</v>
          </cell>
          <cell r="C28">
            <v>479.25</v>
          </cell>
          <cell r="D28">
            <v>522.38</v>
          </cell>
          <cell r="F28">
            <v>553.72</v>
          </cell>
          <cell r="K28">
            <v>660</v>
          </cell>
          <cell r="M28">
            <v>900</v>
          </cell>
          <cell r="O28">
            <v>900</v>
          </cell>
          <cell r="W28">
            <v>954</v>
          </cell>
          <cell r="AB28">
            <v>1035.09</v>
          </cell>
          <cell r="AE28">
            <v>1112.72</v>
          </cell>
          <cell r="AG28">
            <v>1260</v>
          </cell>
          <cell r="AJ28">
            <v>1348.2</v>
          </cell>
          <cell r="AK28">
            <v>1329.3</v>
          </cell>
          <cell r="AL28">
            <v>1545</v>
          </cell>
          <cell r="AM28">
            <v>1524</v>
          </cell>
          <cell r="AN28">
            <v>1607.82</v>
          </cell>
          <cell r="AO28">
            <v>1812</v>
          </cell>
          <cell r="AP28">
            <v>1671.94</v>
          </cell>
          <cell r="BL28">
            <v>1650.06</v>
          </cell>
          <cell r="BM28">
            <v>1950</v>
          </cell>
          <cell r="BO28">
            <v>1560</v>
          </cell>
          <cell r="BQ28">
            <v>1452</v>
          </cell>
          <cell r="BS28">
            <v>1794</v>
          </cell>
        </row>
        <row r="29">
          <cell r="B29">
            <v>225</v>
          </cell>
          <cell r="C29">
            <v>239.63</v>
          </cell>
          <cell r="D29">
            <v>261.2</v>
          </cell>
          <cell r="F29">
            <v>276.87</v>
          </cell>
          <cell r="K29">
            <v>330.0106280193237</v>
          </cell>
          <cell r="M29">
            <v>450.01</v>
          </cell>
          <cell r="O29">
            <v>450</v>
          </cell>
          <cell r="W29">
            <v>477</v>
          </cell>
          <cell r="AB29">
            <v>517.545</v>
          </cell>
          <cell r="AE29">
            <v>556.36</v>
          </cell>
          <cell r="AG29">
            <v>630</v>
          </cell>
          <cell r="AJ29">
            <v>674.1</v>
          </cell>
          <cell r="AK29">
            <v>664.65</v>
          </cell>
          <cell r="AL29">
            <v>772.5</v>
          </cell>
          <cell r="AM29">
            <v>762</v>
          </cell>
          <cell r="AN29">
            <v>803.91</v>
          </cell>
          <cell r="AO29">
            <v>906</v>
          </cell>
          <cell r="AP29">
            <v>835.97</v>
          </cell>
          <cell r="BL29">
            <v>825.0300000000001</v>
          </cell>
          <cell r="BM29">
            <v>975</v>
          </cell>
          <cell r="BO29">
            <v>780</v>
          </cell>
          <cell r="BQ29">
            <v>726</v>
          </cell>
          <cell r="BS29">
            <v>897</v>
          </cell>
        </row>
      </sheetData>
      <sheetData sheetId="2">
        <row r="5">
          <cell r="M5">
            <v>1.1036</v>
          </cell>
          <cell r="N5">
            <v>1.36363636</v>
          </cell>
          <cell r="AJ5">
            <v>1.1459724076546507</v>
          </cell>
          <cell r="BI5">
            <v>1.18177521</v>
          </cell>
        </row>
      </sheetData>
      <sheetData sheetId="3">
        <row r="5">
          <cell r="N5">
            <v>1.36363636</v>
          </cell>
          <cell r="AI5">
            <v>1.1459724076546507</v>
          </cell>
          <cell r="DC5">
            <v>1.18177521</v>
          </cell>
        </row>
        <row r="8">
          <cell r="L8">
            <v>1650</v>
          </cell>
        </row>
        <row r="9">
          <cell r="L9">
            <v>2200</v>
          </cell>
        </row>
        <row r="10">
          <cell r="L10">
            <v>2750.03</v>
          </cell>
        </row>
        <row r="11">
          <cell r="L11">
            <v>3300.05</v>
          </cell>
        </row>
        <row r="13">
          <cell r="L13">
            <v>1320</v>
          </cell>
        </row>
        <row r="14">
          <cell r="L14">
            <v>1760</v>
          </cell>
        </row>
        <row r="15">
          <cell r="L15">
            <v>2200.02</v>
          </cell>
        </row>
        <row r="16">
          <cell r="L16">
            <v>2640.04</v>
          </cell>
        </row>
      </sheetData>
      <sheetData sheetId="4">
        <row r="4">
          <cell r="AH4">
            <v>1.1459724076546507</v>
          </cell>
          <cell r="BG4">
            <v>1.18177521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34"/>
  <sheetViews>
    <sheetView showZeros="0" tabSelected="1" workbookViewId="0" topLeftCell="A2">
      <selection activeCell="A3" sqref="A3"/>
    </sheetView>
  </sheetViews>
  <sheetFormatPr defaultColWidth="9.00390625" defaultRowHeight="12.75"/>
  <cols>
    <col min="1" max="1" width="29.625" style="0" customWidth="1"/>
    <col min="2" max="2" width="9.25390625" style="0" hidden="1" customWidth="1"/>
    <col min="3" max="8" width="9.125" style="0" hidden="1" customWidth="1"/>
    <col min="9" max="10" width="10.125" style="0" hidden="1" customWidth="1"/>
    <col min="11" max="11" width="11.125" style="0" hidden="1" customWidth="1"/>
    <col min="12" max="12" width="9.125" style="0" hidden="1" customWidth="1"/>
    <col min="13" max="13" width="11.125" style="0" hidden="1" customWidth="1"/>
    <col min="14" max="14" width="9.125" style="0" hidden="1" customWidth="1"/>
    <col min="15" max="15" width="11.00390625" style="0" hidden="1" customWidth="1"/>
    <col min="16" max="17" width="9.125" style="0" hidden="1" customWidth="1"/>
    <col min="18" max="18" width="10.75390625" style="0" hidden="1" customWidth="1"/>
    <col min="19" max="19" width="9.125" style="0" hidden="1" customWidth="1"/>
    <col min="20" max="20" width="10.625" style="0" hidden="1" customWidth="1"/>
    <col min="21" max="23" width="9.125" style="0" hidden="1" customWidth="1"/>
    <col min="24" max="24" width="10.875" style="0" hidden="1" customWidth="1"/>
    <col min="25" max="25" width="9.125" style="0" hidden="1" customWidth="1"/>
    <col min="26" max="26" width="11.125" style="0" hidden="1" customWidth="1"/>
    <col min="27" max="27" width="11.375" style="0" hidden="1" customWidth="1"/>
    <col min="28" max="29" width="9.125" style="0" hidden="1" customWidth="1"/>
    <col min="30" max="30" width="11.125" style="0" hidden="1" customWidth="1"/>
    <col min="31" max="31" width="9.125" style="0" hidden="1" customWidth="1"/>
    <col min="32" max="32" width="11.00390625" style="0" customWidth="1"/>
    <col min="33" max="33" width="12.625" style="0" hidden="1" customWidth="1"/>
    <col min="34" max="34" width="9.125" style="0" hidden="1" customWidth="1"/>
    <col min="35" max="35" width="0" style="0" hidden="1" customWidth="1"/>
    <col min="36" max="36" width="9.125" style="0" hidden="1" customWidth="1"/>
    <col min="37" max="37" width="0" style="0" hidden="1" customWidth="1"/>
    <col min="38" max="42" width="11.75390625" style="0" hidden="1" customWidth="1"/>
    <col min="43" max="43" width="9.125" style="0" hidden="1" customWidth="1"/>
    <col min="44" max="44" width="12.125" style="0" hidden="1" customWidth="1"/>
    <col min="45" max="45" width="12.00390625" style="0" hidden="1" customWidth="1"/>
    <col min="46" max="47" width="9.125" style="0" hidden="1" customWidth="1"/>
    <col min="48" max="48" width="10.375" style="0" hidden="1" customWidth="1"/>
    <col min="49" max="67" width="9.125" style="0" hidden="1" customWidth="1"/>
    <col min="68" max="68" width="10.75390625" style="0" customWidth="1"/>
    <col min="69" max="69" width="13.25390625" style="0" customWidth="1"/>
    <col min="70" max="70" width="11.25390625" style="0" hidden="1" customWidth="1"/>
    <col min="71" max="71" width="0" style="0" hidden="1" customWidth="1"/>
    <col min="72" max="72" width="11.375" style="0" hidden="1" customWidth="1"/>
    <col min="73" max="73" width="14.875" style="0" hidden="1" customWidth="1"/>
    <col min="109" max="110" width="9.125" style="0" hidden="1" customWidth="1"/>
    <col min="122" max="123" width="9.125" style="0" hidden="1" customWidth="1"/>
    <col min="124" max="124" width="6.125" style="0" hidden="1" customWidth="1"/>
    <col min="125" max="125" width="7.125" style="0" hidden="1" customWidth="1"/>
    <col min="126" max="126" width="6.625" style="0" hidden="1" customWidth="1"/>
    <col min="127" max="127" width="7.375" style="0" hidden="1" customWidth="1"/>
    <col min="128" max="128" width="6.375" style="0" hidden="1" customWidth="1"/>
    <col min="129" max="129" width="7.00390625" style="0" hidden="1" customWidth="1"/>
    <col min="130" max="130" width="6.125" style="0" hidden="1" customWidth="1"/>
    <col min="131" max="131" width="7.125" style="0" hidden="1" customWidth="1"/>
    <col min="132" max="132" width="6.375" style="0" hidden="1" customWidth="1"/>
    <col min="133" max="133" width="7.125" style="0" hidden="1" customWidth="1"/>
    <col min="134" max="134" width="6.875" style="0" hidden="1" customWidth="1"/>
    <col min="135" max="135" width="5.75390625" style="0" hidden="1" customWidth="1"/>
    <col min="136" max="136" width="6.375" style="0" hidden="1" customWidth="1"/>
    <col min="137" max="137" width="6.75390625" style="0" hidden="1" customWidth="1"/>
    <col min="138" max="138" width="6.375" style="0" hidden="1" customWidth="1"/>
    <col min="139" max="139" width="6.75390625" style="0" hidden="1" customWidth="1"/>
    <col min="140" max="140" width="6.875" style="0" hidden="1" customWidth="1"/>
    <col min="141" max="141" width="7.375" style="0" hidden="1" customWidth="1"/>
    <col min="142" max="142" width="6.75390625" style="0" hidden="1" customWidth="1"/>
    <col min="143" max="143" width="6.25390625" style="0" hidden="1" customWidth="1"/>
    <col min="144" max="144" width="6.75390625" style="0" hidden="1" customWidth="1"/>
    <col min="145" max="145" width="6.625" style="0" hidden="1" customWidth="1"/>
    <col min="146" max="146" width="7.25390625" style="0" hidden="1" customWidth="1"/>
    <col min="147" max="147" width="6.25390625" style="0" hidden="1" customWidth="1"/>
    <col min="148" max="183" width="9.125" style="0" hidden="1" customWidth="1"/>
    <col min="184" max="184" width="0" style="0" hidden="1" customWidth="1"/>
  </cols>
  <sheetData>
    <row r="1" spans="1:16" s="1" customFormat="1" ht="15" hidden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ht="12.75">
      <c r="A2" s="2" t="s">
        <v>1</v>
      </c>
    </row>
    <row r="3" spans="1:134" ht="12.75">
      <c r="A3" s="3" t="s">
        <v>2</v>
      </c>
      <c r="DR3" t="s">
        <v>3</v>
      </c>
      <c r="DT3" s="2" t="s">
        <v>4</v>
      </c>
      <c r="ED3" s="2" t="s">
        <v>5</v>
      </c>
    </row>
    <row r="4" spans="8:147" ht="12.75">
      <c r="H4" s="4"/>
      <c r="J4" s="4" t="s">
        <v>6</v>
      </c>
      <c r="M4" s="5"/>
      <c r="N4" s="5"/>
      <c r="O4" s="5"/>
      <c r="P4" s="5"/>
      <c r="Q4" s="5"/>
      <c r="R4" s="6" t="s">
        <v>7</v>
      </c>
      <c r="S4" s="5"/>
      <c r="T4" t="s">
        <v>8</v>
      </c>
      <c r="Z4" s="7" t="s">
        <v>9</v>
      </c>
      <c r="AA4" s="8"/>
      <c r="AB4" t="s">
        <v>10</v>
      </c>
      <c r="AI4" t="s">
        <v>11</v>
      </c>
      <c r="AK4" t="s">
        <v>11</v>
      </c>
      <c r="BR4" t="s">
        <v>12</v>
      </c>
      <c r="DR4" t="s">
        <v>13</v>
      </c>
      <c r="DS4" t="s">
        <v>14</v>
      </c>
      <c r="DT4">
        <v>1.15</v>
      </c>
      <c r="DU4" t="s">
        <v>15</v>
      </c>
      <c r="DV4">
        <v>1.2</v>
      </c>
      <c r="DW4" t="s">
        <v>15</v>
      </c>
      <c r="DX4">
        <v>1.3</v>
      </c>
      <c r="DY4" t="s">
        <v>15</v>
      </c>
      <c r="DZ4">
        <v>1.4</v>
      </c>
      <c r="EA4" t="s">
        <v>15</v>
      </c>
      <c r="EB4">
        <v>1.5</v>
      </c>
      <c r="EC4" t="s">
        <v>15</v>
      </c>
      <c r="ED4">
        <v>1.3</v>
      </c>
      <c r="EE4" t="s">
        <v>15</v>
      </c>
      <c r="EF4">
        <v>1.4</v>
      </c>
      <c r="EG4" t="s">
        <v>15</v>
      </c>
      <c r="EH4">
        <v>1.5</v>
      </c>
      <c r="EI4" t="s">
        <v>15</v>
      </c>
      <c r="EJ4">
        <v>1.6</v>
      </c>
      <c r="EK4" t="s">
        <v>15</v>
      </c>
      <c r="EL4">
        <v>1.7</v>
      </c>
      <c r="EM4" t="s">
        <v>15</v>
      </c>
      <c r="EN4">
        <v>1.8</v>
      </c>
      <c r="EO4" t="s">
        <v>15</v>
      </c>
      <c r="EP4">
        <v>2</v>
      </c>
      <c r="EQ4" t="s">
        <v>15</v>
      </c>
    </row>
    <row r="5" spans="1:110" s="11" customFormat="1" ht="409.5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25</v>
      </c>
      <c r="M5" s="9" t="s">
        <v>27</v>
      </c>
      <c r="N5" s="9" t="s">
        <v>28</v>
      </c>
      <c r="O5" s="9" t="s">
        <v>29</v>
      </c>
      <c r="P5" s="10" t="s">
        <v>28</v>
      </c>
      <c r="Q5" s="10" t="s">
        <v>30</v>
      </c>
      <c r="R5" s="10" t="s">
        <v>31</v>
      </c>
      <c r="S5" s="10" t="s">
        <v>32</v>
      </c>
      <c r="T5" s="10" t="s">
        <v>31</v>
      </c>
      <c r="U5" s="10" t="s">
        <v>32</v>
      </c>
      <c r="X5" s="9" t="s">
        <v>33</v>
      </c>
      <c r="Y5" s="9" t="s">
        <v>34</v>
      </c>
      <c r="Z5" s="9" t="s">
        <v>35</v>
      </c>
      <c r="AA5" s="9" t="s">
        <v>35</v>
      </c>
      <c r="AB5" s="9" t="s">
        <v>36</v>
      </c>
      <c r="AC5" s="9" t="s">
        <v>37</v>
      </c>
      <c r="AD5" s="9" t="s">
        <v>38</v>
      </c>
      <c r="AE5" s="9" t="s">
        <v>39</v>
      </c>
      <c r="AF5" s="9" t="s">
        <v>40</v>
      </c>
      <c r="AG5" s="9" t="s">
        <v>41</v>
      </c>
      <c r="AH5" s="9" t="s">
        <v>42</v>
      </c>
      <c r="AI5" s="9" t="s">
        <v>43</v>
      </c>
      <c r="AJ5" s="9" t="s">
        <v>43</v>
      </c>
      <c r="AK5" s="9" t="s">
        <v>44</v>
      </c>
      <c r="AL5" s="9" t="s">
        <v>44</v>
      </c>
      <c r="AM5" s="9" t="s">
        <v>45</v>
      </c>
      <c r="AN5" s="9" t="s">
        <v>46</v>
      </c>
      <c r="AO5" s="9" t="s">
        <v>47</v>
      </c>
      <c r="AP5" s="9"/>
      <c r="AQ5" s="9" t="s">
        <v>45</v>
      </c>
      <c r="AR5" s="9" t="s">
        <v>48</v>
      </c>
      <c r="AS5" s="12" t="s">
        <v>49</v>
      </c>
      <c r="AT5" s="12" t="s">
        <v>50</v>
      </c>
      <c r="AU5" s="13" t="s">
        <v>51</v>
      </c>
      <c r="AV5" s="12" t="s">
        <v>52</v>
      </c>
      <c r="AW5" s="11" t="s">
        <v>53</v>
      </c>
      <c r="AX5" s="14" t="s">
        <v>54</v>
      </c>
      <c r="AY5" s="11" t="s">
        <v>55</v>
      </c>
      <c r="AZ5" s="11" t="s">
        <v>56</v>
      </c>
      <c r="BA5" s="11" t="s">
        <v>55</v>
      </c>
      <c r="BB5" s="11" t="s">
        <v>57</v>
      </c>
      <c r="BC5" s="11" t="s">
        <v>55</v>
      </c>
      <c r="BD5" s="11" t="s">
        <v>58</v>
      </c>
      <c r="BE5" s="11" t="s">
        <v>55</v>
      </c>
      <c r="BF5" s="11" t="s">
        <v>59</v>
      </c>
      <c r="BG5" s="11" t="s">
        <v>55</v>
      </c>
      <c r="BH5" s="11" t="s">
        <v>60</v>
      </c>
      <c r="BI5" s="11" t="s">
        <v>55</v>
      </c>
      <c r="BJ5" s="11" t="s">
        <v>61</v>
      </c>
      <c r="BK5" s="11" t="s">
        <v>55</v>
      </c>
      <c r="BL5" s="11" t="s">
        <v>62</v>
      </c>
      <c r="BM5" s="11" t="s">
        <v>55</v>
      </c>
      <c r="BN5" s="11" t="s">
        <v>63</v>
      </c>
      <c r="BO5" s="11" t="s">
        <v>55</v>
      </c>
      <c r="BP5" s="9" t="s">
        <v>64</v>
      </c>
      <c r="BQ5" s="12" t="s">
        <v>65</v>
      </c>
      <c r="BR5" s="9" t="s">
        <v>66</v>
      </c>
      <c r="BS5" s="12" t="s">
        <v>67</v>
      </c>
      <c r="BT5" s="9" t="s">
        <v>68</v>
      </c>
      <c r="BU5" s="12" t="s">
        <v>69</v>
      </c>
      <c r="DE5" s="9" t="s">
        <v>45</v>
      </c>
      <c r="DF5" s="9" t="s">
        <v>48</v>
      </c>
    </row>
    <row r="6" spans="1:110" s="31" customFormat="1" ht="12.75">
      <c r="A6" s="15" t="s">
        <v>70</v>
      </c>
      <c r="B6" s="16"/>
      <c r="C6" s="17">
        <v>1.065</v>
      </c>
      <c r="D6" s="17">
        <v>1.09</v>
      </c>
      <c r="E6" s="18">
        <v>1.161</v>
      </c>
      <c r="F6" s="17">
        <v>1.06</v>
      </c>
      <c r="G6" s="17">
        <v>1.08</v>
      </c>
      <c r="H6" s="18">
        <v>1.145</v>
      </c>
      <c r="I6" s="19">
        <v>1.0384268</v>
      </c>
      <c r="J6" s="19">
        <f>I6</f>
        <v>1.0384268</v>
      </c>
      <c r="K6" s="20">
        <f>660/621</f>
        <v>1.0628019323671498</v>
      </c>
      <c r="L6" s="21">
        <f>ROUND(I6*K6,4)</f>
        <v>1.1036</v>
      </c>
      <c r="M6" s="22">
        <f>ROUND(900/660,8)</f>
        <v>1.36363636</v>
      </c>
      <c r="N6" s="23"/>
      <c r="O6" s="23">
        <v>1.36363636</v>
      </c>
      <c r="P6" s="24"/>
      <c r="Q6" s="24"/>
      <c r="R6" s="24"/>
      <c r="S6" s="24"/>
      <c r="T6" s="21"/>
      <c r="U6" s="21"/>
      <c r="V6" s="25"/>
      <c r="W6" s="25"/>
      <c r="X6" s="26">
        <v>1.06</v>
      </c>
      <c r="Y6" s="21"/>
      <c r="Z6" s="17">
        <v>1.06</v>
      </c>
      <c r="AA6" s="17">
        <v>1.085</v>
      </c>
      <c r="AB6" s="17"/>
      <c r="AC6" s="17"/>
      <c r="AD6" s="17">
        <v>1.075</v>
      </c>
      <c r="AE6" s="27"/>
      <c r="AF6" s="21">
        <f>AF8/AD8</f>
        <v>1.132360342224459</v>
      </c>
      <c r="AG6" s="20"/>
      <c r="AH6" s="27"/>
      <c r="AI6" s="17">
        <v>1.07</v>
      </c>
      <c r="AJ6" s="28">
        <v>1.055</v>
      </c>
      <c r="AK6" s="28">
        <f>ROUND(AK8/AI8,8)</f>
        <v>1.14597241</v>
      </c>
      <c r="AL6" s="20">
        <f>AL8/AJ8</f>
        <v>1.1464680658993456</v>
      </c>
      <c r="AM6" s="18">
        <v>1.068</v>
      </c>
      <c r="AN6" s="20">
        <f>ROUND(1950/1650.06,8)</f>
        <v>1.18177521</v>
      </c>
      <c r="AO6" s="18">
        <f>1.065</f>
        <v>1.065</v>
      </c>
      <c r="AP6" s="20"/>
      <c r="AQ6" s="21">
        <v>1.055</v>
      </c>
      <c r="AR6" s="20">
        <f>AR8/AQ8</f>
        <v>1.1269918274433706</v>
      </c>
      <c r="AS6" s="20">
        <f>(1*3+AQ6*4+AQ6*AR6*5)/12</f>
        <v>1.0970734908136481</v>
      </c>
      <c r="AT6" s="29"/>
      <c r="AU6" s="30" t="s">
        <v>71</v>
      </c>
      <c r="BP6" s="26">
        <f>1560/1260</f>
        <v>1.2380952380952381</v>
      </c>
      <c r="BQ6" s="27"/>
      <c r="BR6" s="26">
        <f>1452/1260</f>
        <v>1.1523809523809523</v>
      </c>
      <c r="BS6" s="27"/>
      <c r="BT6" s="17">
        <f>ROUND(BT8/BP8,8)</f>
        <v>1.15</v>
      </c>
      <c r="BU6" s="27"/>
      <c r="DE6" s="21">
        <v>1.068</v>
      </c>
      <c r="DF6" s="21">
        <f>ROUND(1950/DE8,8)</f>
        <v>1.18177521</v>
      </c>
    </row>
    <row r="7" spans="1:109" ht="12.75">
      <c r="A7" s="32" t="s">
        <v>72</v>
      </c>
      <c r="B7" s="33"/>
      <c r="C7" s="33"/>
      <c r="D7" s="33"/>
      <c r="E7" s="33"/>
      <c r="F7" s="33"/>
      <c r="G7" s="33"/>
      <c r="H7" s="33"/>
      <c r="I7" s="33"/>
      <c r="J7" s="33"/>
      <c r="K7" s="34"/>
      <c r="L7" s="34"/>
      <c r="M7" s="34"/>
      <c r="N7" s="34"/>
      <c r="O7" s="34"/>
      <c r="P7" s="35"/>
      <c r="Q7" s="35"/>
      <c r="R7" s="35"/>
      <c r="S7" s="35"/>
      <c r="T7" s="34"/>
      <c r="U7" s="34"/>
      <c r="X7" s="35"/>
      <c r="Y7" s="34"/>
      <c r="Z7" s="34"/>
      <c r="AA7" s="35"/>
      <c r="AB7" s="36"/>
      <c r="AC7" s="36"/>
      <c r="AD7" s="34"/>
      <c r="AE7" s="34"/>
      <c r="AF7" s="34"/>
      <c r="AG7" s="34"/>
      <c r="AH7" s="34"/>
      <c r="AI7" s="34"/>
      <c r="AJ7" s="37"/>
      <c r="AK7" s="35"/>
      <c r="AL7" s="38"/>
      <c r="AM7" s="38"/>
      <c r="AN7" s="38"/>
      <c r="AO7" s="38"/>
      <c r="AP7" s="38"/>
      <c r="AQ7" s="34"/>
      <c r="AR7" s="34"/>
      <c r="AS7" s="37"/>
      <c r="BP7" s="39"/>
      <c r="BQ7" s="37"/>
      <c r="BR7" s="40"/>
      <c r="BS7" s="41"/>
      <c r="BT7" s="40"/>
      <c r="BU7" s="37"/>
      <c r="DE7" s="36"/>
    </row>
    <row r="8" spans="1:147" ht="12.75">
      <c r="A8" s="34" t="s">
        <v>73</v>
      </c>
      <c r="B8" s="42">
        <v>450</v>
      </c>
      <c r="C8" s="42">
        <f aca="true" t="shared" si="0" ref="C8:C21">ROUND(B8*1.065,2)</f>
        <v>479.25</v>
      </c>
      <c r="D8" s="42">
        <f aca="true" t="shared" si="1" ref="D8:D21">ROUND(C8*1.09,2)</f>
        <v>522.38</v>
      </c>
      <c r="E8" s="42">
        <f aca="true" t="shared" si="2" ref="E8:E21">F8-D8</f>
        <v>31.340000000000032</v>
      </c>
      <c r="F8" s="42">
        <f aca="true" t="shared" si="3" ref="F8:F21">ROUND(D8*1.06,2)</f>
        <v>553.72</v>
      </c>
      <c r="G8" s="42">
        <f aca="true" t="shared" si="4" ref="G8:G21">ROUND(F8*1.08,2)</f>
        <v>598.02</v>
      </c>
      <c r="H8" s="42">
        <f aca="true" t="shared" si="5" ref="H8:H21">G8-D8</f>
        <v>75.63999999999999</v>
      </c>
      <c r="I8" s="42">
        <f aca="true" t="shared" si="6" ref="I8:I21">ROUND(G8*I$6,2)</f>
        <v>621</v>
      </c>
      <c r="J8" s="42">
        <f aca="true" t="shared" si="7" ref="J8:J21">I8-G8</f>
        <v>22.980000000000018</v>
      </c>
      <c r="K8" s="42">
        <f aca="true" t="shared" si="8" ref="K8:K22">ROUND(I8*1.06280193,2)</f>
        <v>660</v>
      </c>
      <c r="L8" s="42">
        <f aca="true" t="shared" si="9" ref="L8:L22">K8-G8</f>
        <v>61.98000000000002</v>
      </c>
      <c r="M8" s="43">
        <f>900</f>
        <v>900</v>
      </c>
      <c r="N8" s="44">
        <f aca="true" t="shared" si="10" ref="N8:N22">M8-K8</f>
        <v>240</v>
      </c>
      <c r="O8" s="45">
        <v>900</v>
      </c>
      <c r="P8" s="46">
        <f aca="true" t="shared" si="11" ref="P8:P22">O8-K8</f>
        <v>240</v>
      </c>
      <c r="Q8" s="47">
        <f aca="true" t="shared" si="12" ref="Q8:Q22">ROUND(O8*1.15,2)</f>
        <v>1035</v>
      </c>
      <c r="R8" s="48">
        <f aca="true" t="shared" si="13" ref="R8:R21">ROUND(O8*1.38,2)</f>
        <v>1242</v>
      </c>
      <c r="S8" s="48">
        <f aca="true" t="shared" si="14" ref="S8:S22">ROUND(O8*2,2)</f>
        <v>1800</v>
      </c>
      <c r="T8" s="49">
        <f aca="true" t="shared" si="15" ref="T8:T22">ROUND(P8*1.38,0)</f>
        <v>331</v>
      </c>
      <c r="U8" s="49">
        <f aca="true" t="shared" si="16" ref="U8:U22">ROUND(P8*2,0)</f>
        <v>480</v>
      </c>
      <c r="V8">
        <f aca="true" t="shared" si="17" ref="V8:V22">ROUND((O8*1.38-K8*1.38),0)</f>
        <v>331</v>
      </c>
      <c r="W8">
        <f aca="true" t="shared" si="18" ref="W8:W21">ROUND((O8*2-K8*2),0)</f>
        <v>480</v>
      </c>
      <c r="X8" s="38">
        <f aca="true" t="shared" si="19" ref="X8:X21">ROUND(O8*X$6,2)</f>
        <v>954</v>
      </c>
      <c r="Y8" s="33">
        <f>ROUND(X8*'[1]старость_доплаты2008'!$C$2*'[1]старость_доплаты2008'!$D$2,0)</f>
        <v>1352</v>
      </c>
      <c r="Z8" s="33">
        <f aca="true" t="shared" si="20" ref="Z8:Z22">X8*1.06</f>
        <v>1011.24</v>
      </c>
      <c r="AA8" s="38">
        <f aca="true" t="shared" si="21" ref="AA8:AA22">X8*1.085</f>
        <v>1035.09</v>
      </c>
      <c r="AB8" s="38">
        <f aca="true" t="shared" si="22" ref="AB8:AB22">Z8-X8</f>
        <v>57.24000000000001</v>
      </c>
      <c r="AC8" s="35">
        <f aca="true" t="shared" si="23" ref="AC8:AC22">AA8-X8</f>
        <v>81.08999999999992</v>
      </c>
      <c r="AD8" s="33">
        <f aca="true" t="shared" si="24" ref="AD8:AD22">ROUND(AA8*1.075,2)</f>
        <v>1112.72</v>
      </c>
      <c r="AE8" s="33">
        <f aca="true" t="shared" si="25" ref="AE8:AE22">AD8-AA8</f>
        <v>77.63000000000011</v>
      </c>
      <c r="AF8" s="33">
        <v>1260</v>
      </c>
      <c r="AG8" s="33">
        <f aca="true" t="shared" si="26" ref="AG8:AG21">AF8-AD8</f>
        <v>147.27999999999997</v>
      </c>
      <c r="AH8" s="33">
        <f aca="true" t="shared" si="27" ref="AH8:AH21">AF8-AA8</f>
        <v>224.91000000000008</v>
      </c>
      <c r="AI8" s="42">
        <f aca="true" t="shared" si="28" ref="AI8:AI21">ROUND(AF8*1.07,2)</f>
        <v>1348.2</v>
      </c>
      <c r="AJ8" s="33">
        <f aca="true" t="shared" si="29" ref="AJ8:AJ22">ROUND(AF8*1.055,2)</f>
        <v>1329.3</v>
      </c>
      <c r="AK8" s="38">
        <v>1545</v>
      </c>
      <c r="AL8" s="38">
        <v>1524</v>
      </c>
      <c r="AM8" s="38">
        <f aca="true" t="shared" si="30" ref="AM8:AM22">ROUND(AK8*1.068,2)</f>
        <v>1650.06</v>
      </c>
      <c r="AN8" s="38">
        <f aca="true" t="shared" si="31" ref="AN8:AN22">ROUND(AM8*AN$6,0)</f>
        <v>1950</v>
      </c>
      <c r="AO8" s="38">
        <f aca="true" t="shared" si="32" ref="AO8:AO22">ROUND(AN8*1.065,2)</f>
        <v>2076.75</v>
      </c>
      <c r="AP8" s="38"/>
      <c r="AQ8" s="33">
        <f aca="true" t="shared" si="33" ref="AQ8:AQ22">ROUND(AL8*1.055,2)</f>
        <v>1607.82</v>
      </c>
      <c r="AR8" s="33">
        <v>1812</v>
      </c>
      <c r="AS8" s="33">
        <f aca="true" t="shared" si="34" ref="AS8:AS22">ROUND((AL8*3+AQ8*4+AR8*5)/12,2)</f>
        <v>1671.94</v>
      </c>
      <c r="AT8" s="8">
        <f>ROUND((430.67*1.092*1.161+430.67*1.092*1.161*1.06*2+430.67*1.092*1.161*1.06*1.06*9)/12,2)</f>
        <v>602.08</v>
      </c>
      <c r="AU8" s="8">
        <f aca="true" t="shared" si="35" ref="AU8:AU22">AS8+AT8</f>
        <v>2274.02</v>
      </c>
      <c r="AV8">
        <f>3419-AU8</f>
        <v>1144.98</v>
      </c>
      <c r="AW8">
        <f aca="true" t="shared" si="36" ref="AW8:AW22">AR8*1.15</f>
        <v>2083.7999999999997</v>
      </c>
      <c r="AX8">
        <v>613.69</v>
      </c>
      <c r="AY8" s="50">
        <f aca="true" t="shared" si="37" ref="AY8:AY22">AW8+AX8</f>
        <v>2697.49</v>
      </c>
      <c r="AZ8">
        <f aca="true" t="shared" si="38" ref="AZ8:AZ22">AR8*1.2</f>
        <v>2174.4</v>
      </c>
      <c r="BA8" s="50">
        <f aca="true" t="shared" si="39" ref="BA8:BA21">AZ8+AX8</f>
        <v>2788.09</v>
      </c>
      <c r="BB8">
        <f aca="true" t="shared" si="40" ref="BB8:BB22">AR8*1.3</f>
        <v>2355.6</v>
      </c>
      <c r="BC8" s="50">
        <f aca="true" t="shared" si="41" ref="BC8:BC21">AX8+BB8</f>
        <v>2969.29</v>
      </c>
      <c r="BD8">
        <f aca="true" t="shared" si="42" ref="BD8:BD22">1.4*AR8</f>
        <v>2536.7999999999997</v>
      </c>
      <c r="BE8" s="50">
        <f aca="true" t="shared" si="43" ref="BE8:BE22">AX8+BD8</f>
        <v>3150.49</v>
      </c>
      <c r="BF8">
        <f aca="true" t="shared" si="44" ref="BF8:BF22">AR8*1.5</f>
        <v>2718</v>
      </c>
      <c r="BG8" s="50">
        <f aca="true" t="shared" si="45" ref="BG8:BG21">BF8+AX8</f>
        <v>3331.69</v>
      </c>
      <c r="BH8">
        <f aca="true" t="shared" si="46" ref="BH8:BH22">AR8*1.6</f>
        <v>2899.2000000000003</v>
      </c>
      <c r="BI8">
        <f aca="true" t="shared" si="47" ref="BI8:BI21">AX8+BH8</f>
        <v>3512.8900000000003</v>
      </c>
      <c r="BJ8">
        <f aca="true" t="shared" si="48" ref="BJ8:BJ22">AR8*1.7</f>
        <v>3080.4</v>
      </c>
      <c r="BK8">
        <f aca="true" t="shared" si="49" ref="BK8:BK21">BJ8+AX8</f>
        <v>3694.09</v>
      </c>
      <c r="BL8">
        <f aca="true" t="shared" si="50" ref="BL8:BL22">1.8*AR8</f>
        <v>3261.6</v>
      </c>
      <c r="BM8">
        <f aca="true" t="shared" si="51" ref="BM8:BM21">BL8+AX8</f>
        <v>3875.29</v>
      </c>
      <c r="BN8">
        <f aca="true" t="shared" si="52" ref="BN8:BN22">2*AR8</f>
        <v>3624</v>
      </c>
      <c r="BO8">
        <f aca="true" t="shared" si="53" ref="BO8:BO21">BN8+AX8</f>
        <v>4237.6900000000005</v>
      </c>
      <c r="BP8" s="38">
        <f>1560</f>
        <v>1560</v>
      </c>
      <c r="BQ8" s="33">
        <f aca="true" t="shared" si="54" ref="BQ8:BQ22">BP8-AF8</f>
        <v>300</v>
      </c>
      <c r="BR8" s="33">
        <f aca="true" t="shared" si="55" ref="BR8:BR22">ROUND(AF8*BR$6,0)</f>
        <v>1452</v>
      </c>
      <c r="BS8" s="38">
        <f aca="true" t="shared" si="56" ref="BS8:BS22">BR8-AF8</f>
        <v>192</v>
      </c>
      <c r="BT8" s="33">
        <f>1794</f>
        <v>1794</v>
      </c>
      <c r="BU8" s="33">
        <f aca="true" t="shared" si="57" ref="BU8:BU22">BT8-BP8</f>
        <v>234</v>
      </c>
      <c r="DE8" s="38">
        <f aca="true" t="shared" si="58" ref="DE8:DE22">ROUND(AK8*1.068,2)</f>
        <v>1650.06</v>
      </c>
      <c r="DF8" s="33">
        <f>1950</f>
        <v>1950</v>
      </c>
      <c r="DR8" s="50">
        <v>1638</v>
      </c>
      <c r="DS8" s="50">
        <v>1890</v>
      </c>
      <c r="DT8">
        <f aca="true" t="shared" si="59" ref="DT8:DT22">AF8*1.15</f>
        <v>1449</v>
      </c>
      <c r="DU8" s="50">
        <f>1638*1.15</f>
        <v>1883.6999999999998</v>
      </c>
      <c r="DV8">
        <f aca="true" t="shared" si="60" ref="DV8:DV21">1.2*AF8</f>
        <v>1512</v>
      </c>
      <c r="DW8" s="50">
        <f>1638*1.2</f>
        <v>1965.6</v>
      </c>
      <c r="DX8">
        <f aca="true" t="shared" si="61" ref="DX8:DX21">AF8*1.3</f>
        <v>1638</v>
      </c>
      <c r="DY8" s="50">
        <f>1638*1.3</f>
        <v>2129.4</v>
      </c>
      <c r="DZ8">
        <f aca="true" t="shared" si="62" ref="DZ8:DZ21">1.4*AF8</f>
        <v>1764</v>
      </c>
      <c r="EA8" s="50">
        <f>1638*1.4</f>
        <v>2293.2</v>
      </c>
      <c r="EB8">
        <f aca="true" t="shared" si="63" ref="EB8:EB21">1.5*AF8</f>
        <v>1890</v>
      </c>
      <c r="EC8" s="50">
        <f aca="true" t="shared" si="64" ref="EC8:EC21">1638*1.5</f>
        <v>2457</v>
      </c>
      <c r="ED8">
        <f aca="true" t="shared" si="65" ref="ED8:ED21">DX8</f>
        <v>1638</v>
      </c>
      <c r="EE8" s="50">
        <f>1890*1.3</f>
        <v>2457</v>
      </c>
      <c r="EF8">
        <f aca="true" t="shared" si="66" ref="EF8:EF21">DZ8</f>
        <v>1764</v>
      </c>
      <c r="EG8" s="50">
        <f>1890*1.4</f>
        <v>2646</v>
      </c>
      <c r="EH8">
        <f aca="true" t="shared" si="67" ref="EH8:EH21">AF8*1.5</f>
        <v>1890</v>
      </c>
      <c r="EI8" s="50">
        <f>1890*1.5</f>
        <v>2835</v>
      </c>
      <c r="EJ8">
        <f aca="true" t="shared" si="68" ref="EJ8:EJ21">AF8*1.6</f>
        <v>2016</v>
      </c>
      <c r="EK8" s="50">
        <f>1890*1.6</f>
        <v>3024</v>
      </c>
      <c r="EL8">
        <f aca="true" t="shared" si="69" ref="EL8:EL21">1.7*AF8</f>
        <v>2142</v>
      </c>
      <c r="EM8" s="50">
        <f>1890*1.7</f>
        <v>3213</v>
      </c>
      <c r="EN8">
        <f aca="true" t="shared" si="70" ref="EN8:EN21">1.8*AF8</f>
        <v>2268</v>
      </c>
      <c r="EO8" s="50">
        <f>1890*1.8</f>
        <v>3402</v>
      </c>
      <c r="EP8">
        <f aca="true" t="shared" si="71" ref="EP8:EP21">AF8*2</f>
        <v>2520</v>
      </c>
      <c r="EQ8" s="50">
        <f>1890*2</f>
        <v>3780</v>
      </c>
    </row>
    <row r="9" spans="1:147" ht="12.75">
      <c r="A9" s="34" t="s">
        <v>74</v>
      </c>
      <c r="B9" s="42">
        <v>600</v>
      </c>
      <c r="C9" s="42">
        <f t="shared" si="0"/>
        <v>639</v>
      </c>
      <c r="D9" s="42">
        <f t="shared" si="1"/>
        <v>696.51</v>
      </c>
      <c r="E9" s="42">
        <f t="shared" si="2"/>
        <v>41.789999999999964</v>
      </c>
      <c r="F9" s="42">
        <f t="shared" si="3"/>
        <v>738.3</v>
      </c>
      <c r="G9" s="42">
        <f t="shared" si="4"/>
        <v>797.36</v>
      </c>
      <c r="H9" s="42">
        <f t="shared" si="5"/>
        <v>100.85000000000002</v>
      </c>
      <c r="I9" s="42">
        <f t="shared" si="6"/>
        <v>828</v>
      </c>
      <c r="J9" s="42">
        <f t="shared" si="7"/>
        <v>30.639999999999986</v>
      </c>
      <c r="K9" s="42">
        <f t="shared" si="8"/>
        <v>880</v>
      </c>
      <c r="L9" s="42">
        <f t="shared" si="9"/>
        <v>82.63999999999999</v>
      </c>
      <c r="M9" s="44">
        <f aca="true" t="shared" si="72" ref="M9:M22">ROUND(K9*M$6,2)</f>
        <v>1200</v>
      </c>
      <c r="N9" s="44">
        <f t="shared" si="10"/>
        <v>320</v>
      </c>
      <c r="O9" s="33">
        <v>1200</v>
      </c>
      <c r="P9" s="46">
        <f t="shared" si="11"/>
        <v>320</v>
      </c>
      <c r="Q9" s="51">
        <f t="shared" si="12"/>
        <v>1380</v>
      </c>
      <c r="R9" s="46">
        <f t="shared" si="13"/>
        <v>1656</v>
      </c>
      <c r="S9" s="46">
        <f t="shared" si="14"/>
        <v>2400</v>
      </c>
      <c r="T9" s="33">
        <f t="shared" si="15"/>
        <v>442</v>
      </c>
      <c r="U9" s="33">
        <f t="shared" si="16"/>
        <v>640</v>
      </c>
      <c r="V9">
        <f t="shared" si="17"/>
        <v>442</v>
      </c>
      <c r="W9">
        <f t="shared" si="18"/>
        <v>640</v>
      </c>
      <c r="X9" s="38">
        <f t="shared" si="19"/>
        <v>1272</v>
      </c>
      <c r="Y9" s="33">
        <f>ROUND(X9*'[1]старость_доплаты2008'!$C$2*'[1]старость_доплаты2008'!$D$2,0)</f>
        <v>1803</v>
      </c>
      <c r="Z9" s="33">
        <f t="shared" si="20"/>
        <v>1348.3200000000002</v>
      </c>
      <c r="AA9" s="38">
        <f t="shared" si="21"/>
        <v>1380.12</v>
      </c>
      <c r="AB9" s="38">
        <f t="shared" si="22"/>
        <v>76.32000000000016</v>
      </c>
      <c r="AC9" s="35">
        <f t="shared" si="23"/>
        <v>108.11999999999989</v>
      </c>
      <c r="AD9" s="33">
        <f t="shared" si="24"/>
        <v>1483.63</v>
      </c>
      <c r="AE9" s="33">
        <f t="shared" si="25"/>
        <v>103.51000000000022</v>
      </c>
      <c r="AF9" s="33">
        <v>1680</v>
      </c>
      <c r="AG9" s="33">
        <f t="shared" si="26"/>
        <v>196.3699999999999</v>
      </c>
      <c r="AH9" s="33">
        <f t="shared" si="27"/>
        <v>299.8800000000001</v>
      </c>
      <c r="AI9" s="42">
        <f t="shared" si="28"/>
        <v>1797.6</v>
      </c>
      <c r="AJ9" s="33">
        <f t="shared" si="29"/>
        <v>1772.4</v>
      </c>
      <c r="AK9" s="38">
        <f aca="true" t="shared" si="73" ref="AK9:AK22">ROUND(AI9*AK$6,2)</f>
        <v>2060</v>
      </c>
      <c r="AL9" s="38">
        <f>ROUND(AJ9*AL$8/AJ$8,2)</f>
        <v>2032</v>
      </c>
      <c r="AM9" s="38">
        <f t="shared" si="30"/>
        <v>2200.08</v>
      </c>
      <c r="AN9" s="38">
        <f t="shared" si="31"/>
        <v>2600</v>
      </c>
      <c r="AO9" s="51">
        <f t="shared" si="32"/>
        <v>2769</v>
      </c>
      <c r="AP9" s="38"/>
      <c r="AQ9" s="33">
        <f t="shared" si="33"/>
        <v>2143.76</v>
      </c>
      <c r="AR9" s="33">
        <f aca="true" t="shared" si="74" ref="AR9:AR22">ROUND(AQ9*AR$8/AQ$8,2)</f>
        <v>2416</v>
      </c>
      <c r="AS9" s="33">
        <f t="shared" si="34"/>
        <v>2229.25</v>
      </c>
      <c r="AT9" s="8">
        <f>ROUND((430.67*1.092*1.161+430.67*1.092*1.161*1.06*2+430.67*1.092*1.161*1.06*1.06*9)/12,2)</f>
        <v>602.08</v>
      </c>
      <c r="AU9" s="8">
        <f t="shared" si="35"/>
        <v>2831.33</v>
      </c>
      <c r="AV9">
        <f>3419-AU9</f>
        <v>587.6700000000001</v>
      </c>
      <c r="AW9">
        <f t="shared" si="36"/>
        <v>2778.3999999999996</v>
      </c>
      <c r="AX9">
        <v>613.69</v>
      </c>
      <c r="AY9" s="50">
        <f t="shared" si="37"/>
        <v>3392.0899999999997</v>
      </c>
      <c r="AZ9">
        <f t="shared" si="38"/>
        <v>2899.2</v>
      </c>
      <c r="BA9">
        <f t="shared" si="39"/>
        <v>3512.89</v>
      </c>
      <c r="BB9">
        <f t="shared" si="40"/>
        <v>3140.8</v>
      </c>
      <c r="BC9">
        <f t="shared" si="41"/>
        <v>3754.4900000000002</v>
      </c>
      <c r="BD9">
        <f t="shared" si="42"/>
        <v>3382.3999999999996</v>
      </c>
      <c r="BE9">
        <f t="shared" si="43"/>
        <v>3996.0899999999997</v>
      </c>
      <c r="BF9">
        <f t="shared" si="44"/>
        <v>3624</v>
      </c>
      <c r="BG9">
        <f t="shared" si="45"/>
        <v>4237.6900000000005</v>
      </c>
      <c r="BH9">
        <f t="shared" si="46"/>
        <v>3865.6000000000004</v>
      </c>
      <c r="BI9">
        <f t="shared" si="47"/>
        <v>4479.290000000001</v>
      </c>
      <c r="BJ9">
        <f t="shared" si="48"/>
        <v>4107.2</v>
      </c>
      <c r="BK9">
        <f t="shared" si="49"/>
        <v>4720.889999999999</v>
      </c>
      <c r="BL9">
        <f t="shared" si="50"/>
        <v>4348.8</v>
      </c>
      <c r="BM9">
        <f t="shared" si="51"/>
        <v>4962.49</v>
      </c>
      <c r="BN9">
        <f t="shared" si="52"/>
        <v>4832</v>
      </c>
      <c r="BO9">
        <f t="shared" si="53"/>
        <v>5445.6900000000005</v>
      </c>
      <c r="BP9" s="38">
        <f>BP8*AF9/AF8</f>
        <v>2080</v>
      </c>
      <c r="BQ9" s="33">
        <f t="shared" si="54"/>
        <v>400</v>
      </c>
      <c r="BR9" s="33">
        <f t="shared" si="55"/>
        <v>1936</v>
      </c>
      <c r="BS9" s="38">
        <f t="shared" si="56"/>
        <v>256</v>
      </c>
      <c r="BT9" s="33">
        <f>ROUND(BT8*BP9/BP8,2)</f>
        <v>2392</v>
      </c>
      <c r="BU9" s="33">
        <f t="shared" si="57"/>
        <v>312</v>
      </c>
      <c r="DE9" s="38">
        <f t="shared" si="58"/>
        <v>2200.08</v>
      </c>
      <c r="DF9" s="33">
        <f>ROUND(DE9*DF6,2)</f>
        <v>2600</v>
      </c>
      <c r="DR9">
        <v>1638</v>
      </c>
      <c r="DS9" s="50">
        <v>1890</v>
      </c>
      <c r="DT9">
        <f t="shared" si="59"/>
        <v>1931.9999999999998</v>
      </c>
      <c r="DU9">
        <f>1638*1.15</f>
        <v>1883.6999999999998</v>
      </c>
      <c r="DV9">
        <f t="shared" si="60"/>
        <v>2016</v>
      </c>
      <c r="DW9">
        <f>1638*1.2</f>
        <v>1965.6</v>
      </c>
      <c r="DX9">
        <f t="shared" si="61"/>
        <v>2184</v>
      </c>
      <c r="DY9">
        <f>1638*1.3</f>
        <v>2129.4</v>
      </c>
      <c r="DZ9">
        <f t="shared" si="62"/>
        <v>2352</v>
      </c>
      <c r="EA9" s="52">
        <f>1638*1.4</f>
        <v>2293.2</v>
      </c>
      <c r="EB9">
        <f t="shared" si="63"/>
        <v>2520</v>
      </c>
      <c r="EC9">
        <f t="shared" si="64"/>
        <v>2457</v>
      </c>
      <c r="ED9">
        <f t="shared" si="65"/>
        <v>2184</v>
      </c>
      <c r="EE9" s="50">
        <f>1890*1.3</f>
        <v>2457</v>
      </c>
      <c r="EF9">
        <f t="shared" si="66"/>
        <v>2352</v>
      </c>
      <c r="EG9" s="50">
        <f>1890*1.4</f>
        <v>2646</v>
      </c>
      <c r="EH9">
        <f t="shared" si="67"/>
        <v>2520</v>
      </c>
      <c r="EI9" s="50">
        <f>1890*1.5</f>
        <v>2835</v>
      </c>
      <c r="EJ9">
        <f t="shared" si="68"/>
        <v>2688</v>
      </c>
      <c r="EK9" s="50">
        <f>1890*1.6</f>
        <v>3024</v>
      </c>
      <c r="EL9">
        <f t="shared" si="69"/>
        <v>2856</v>
      </c>
      <c r="EM9" s="50">
        <f>1890*1.7</f>
        <v>3213</v>
      </c>
      <c r="EN9">
        <f t="shared" si="70"/>
        <v>3024</v>
      </c>
      <c r="EO9" s="50">
        <f>1890*1.8</f>
        <v>3402</v>
      </c>
      <c r="EP9">
        <f t="shared" si="71"/>
        <v>3360</v>
      </c>
      <c r="EQ9" s="50">
        <f>1890*2</f>
        <v>3780</v>
      </c>
    </row>
    <row r="10" spans="1:147" ht="12.75">
      <c r="A10" s="34" t="s">
        <v>75</v>
      </c>
      <c r="B10" s="42">
        <v>750</v>
      </c>
      <c r="C10" s="42">
        <f t="shared" si="0"/>
        <v>798.75</v>
      </c>
      <c r="D10" s="42">
        <f t="shared" si="1"/>
        <v>870.64</v>
      </c>
      <c r="E10" s="42">
        <f t="shared" si="2"/>
        <v>52.24000000000001</v>
      </c>
      <c r="F10" s="42">
        <f t="shared" si="3"/>
        <v>922.88</v>
      </c>
      <c r="G10" s="42">
        <f t="shared" si="4"/>
        <v>996.71</v>
      </c>
      <c r="H10" s="42">
        <f t="shared" si="5"/>
        <v>126.07000000000005</v>
      </c>
      <c r="I10" s="42">
        <f t="shared" si="6"/>
        <v>1035.01</v>
      </c>
      <c r="J10" s="42">
        <f t="shared" si="7"/>
        <v>38.299999999999955</v>
      </c>
      <c r="K10" s="42">
        <f t="shared" si="8"/>
        <v>1100.01</v>
      </c>
      <c r="L10" s="42">
        <f t="shared" si="9"/>
        <v>103.29999999999995</v>
      </c>
      <c r="M10" s="44">
        <f t="shared" si="72"/>
        <v>1500.01</v>
      </c>
      <c r="N10" s="44">
        <f t="shared" si="10"/>
        <v>400</v>
      </c>
      <c r="O10" s="33">
        <v>1500</v>
      </c>
      <c r="P10" s="46">
        <f t="shared" si="11"/>
        <v>399.99</v>
      </c>
      <c r="Q10" s="51">
        <f t="shared" si="12"/>
        <v>1725</v>
      </c>
      <c r="R10" s="46">
        <f t="shared" si="13"/>
        <v>2070</v>
      </c>
      <c r="S10" s="46">
        <f t="shared" si="14"/>
        <v>3000</v>
      </c>
      <c r="T10" s="33">
        <f t="shared" si="15"/>
        <v>552</v>
      </c>
      <c r="U10" s="33">
        <f t="shared" si="16"/>
        <v>800</v>
      </c>
      <c r="V10">
        <f t="shared" si="17"/>
        <v>552</v>
      </c>
      <c r="W10">
        <f t="shared" si="18"/>
        <v>800</v>
      </c>
      <c r="X10" s="38">
        <f t="shared" si="19"/>
        <v>1590</v>
      </c>
      <c r="Y10" s="33">
        <f>ROUND(X10*'[1]старость_доплаты2008'!$C$2*'[1]старость_доплаты2008'!$D$2,0)</f>
        <v>2253</v>
      </c>
      <c r="Z10" s="33">
        <f t="shared" si="20"/>
        <v>1685.4</v>
      </c>
      <c r="AA10" s="38">
        <f t="shared" si="21"/>
        <v>1725.1499999999999</v>
      </c>
      <c r="AB10" s="38">
        <f t="shared" si="22"/>
        <v>95.40000000000009</v>
      </c>
      <c r="AC10" s="35">
        <f t="shared" si="23"/>
        <v>135.14999999999986</v>
      </c>
      <c r="AD10" s="33">
        <f t="shared" si="24"/>
        <v>1854.54</v>
      </c>
      <c r="AE10" s="33">
        <f t="shared" si="25"/>
        <v>129.3900000000001</v>
      </c>
      <c r="AF10" s="33">
        <v>2100</v>
      </c>
      <c r="AG10" s="33">
        <f t="shared" si="26"/>
        <v>245.46000000000004</v>
      </c>
      <c r="AH10" s="33">
        <f t="shared" si="27"/>
        <v>374.85000000000014</v>
      </c>
      <c r="AI10" s="42">
        <f t="shared" si="28"/>
        <v>2247</v>
      </c>
      <c r="AJ10" s="33">
        <f t="shared" si="29"/>
        <v>2215.5</v>
      </c>
      <c r="AK10" s="38">
        <f t="shared" si="73"/>
        <v>2575</v>
      </c>
      <c r="AL10" s="38">
        <f>ROUND(AJ10*AL$8/AJ$8,2)</f>
        <v>2540</v>
      </c>
      <c r="AM10" s="38">
        <f t="shared" si="30"/>
        <v>2750.1</v>
      </c>
      <c r="AN10" s="38">
        <f t="shared" si="31"/>
        <v>3250</v>
      </c>
      <c r="AO10" s="38">
        <f t="shared" si="32"/>
        <v>3461.25</v>
      </c>
      <c r="AP10" s="38"/>
      <c r="AQ10" s="33">
        <f t="shared" si="33"/>
        <v>2679.7</v>
      </c>
      <c r="AR10" s="33">
        <f t="shared" si="74"/>
        <v>3020</v>
      </c>
      <c r="AS10" s="33">
        <f t="shared" si="34"/>
        <v>2786.57</v>
      </c>
      <c r="AT10" s="8">
        <f>ROUND((430.67*1.092*1.161+430.67*1.092*1.161*1.06*2+430.67*1.092*1.161*1.06*1.06*9)/12,2)</f>
        <v>602.08</v>
      </c>
      <c r="AU10" s="8">
        <f t="shared" si="35"/>
        <v>3388.65</v>
      </c>
      <c r="AV10">
        <f>3419-AU10</f>
        <v>30.34999999999991</v>
      </c>
      <c r="AW10">
        <f t="shared" si="36"/>
        <v>3472.9999999999995</v>
      </c>
      <c r="AX10">
        <v>613.69</v>
      </c>
      <c r="AY10">
        <f t="shared" si="37"/>
        <v>4086.6899999999996</v>
      </c>
      <c r="AZ10">
        <f t="shared" si="38"/>
        <v>3624</v>
      </c>
      <c r="BA10">
        <f t="shared" si="39"/>
        <v>4237.6900000000005</v>
      </c>
      <c r="BB10">
        <f t="shared" si="40"/>
        <v>3926</v>
      </c>
      <c r="BC10">
        <f t="shared" si="41"/>
        <v>4539.6900000000005</v>
      </c>
      <c r="BD10">
        <f t="shared" si="42"/>
        <v>4228</v>
      </c>
      <c r="BE10">
        <f t="shared" si="43"/>
        <v>4841.6900000000005</v>
      </c>
      <c r="BF10">
        <f t="shared" si="44"/>
        <v>4530</v>
      </c>
      <c r="BG10">
        <f t="shared" si="45"/>
        <v>5143.6900000000005</v>
      </c>
      <c r="BH10">
        <f t="shared" si="46"/>
        <v>4832</v>
      </c>
      <c r="BI10">
        <f t="shared" si="47"/>
        <v>5445.6900000000005</v>
      </c>
      <c r="BJ10">
        <f t="shared" si="48"/>
        <v>5134</v>
      </c>
      <c r="BK10">
        <f t="shared" si="49"/>
        <v>5747.6900000000005</v>
      </c>
      <c r="BL10">
        <f t="shared" si="50"/>
        <v>5436</v>
      </c>
      <c r="BM10">
        <f t="shared" si="51"/>
        <v>6049.6900000000005</v>
      </c>
      <c r="BN10">
        <f t="shared" si="52"/>
        <v>6040</v>
      </c>
      <c r="BO10">
        <f t="shared" si="53"/>
        <v>6653.6900000000005</v>
      </c>
      <c r="BP10" s="38">
        <f>BP8*AF10/AF8</f>
        <v>2600</v>
      </c>
      <c r="BQ10" s="33">
        <f t="shared" si="54"/>
        <v>500</v>
      </c>
      <c r="BR10" s="33">
        <f t="shared" si="55"/>
        <v>2420</v>
      </c>
      <c r="BS10" s="38">
        <f t="shared" si="56"/>
        <v>320</v>
      </c>
      <c r="BT10" s="33">
        <f>ROUND(BT8*BP10/BP8,2)</f>
        <v>2990</v>
      </c>
      <c r="BU10" s="33">
        <f t="shared" si="57"/>
        <v>390</v>
      </c>
      <c r="DE10" s="38">
        <f t="shared" si="58"/>
        <v>2750.1</v>
      </c>
      <c r="DF10" s="33">
        <f>ROUND(DE10*DF6,2)</f>
        <v>3250</v>
      </c>
      <c r="DR10">
        <v>1638</v>
      </c>
      <c r="DS10">
        <v>1890</v>
      </c>
      <c r="DT10">
        <f t="shared" si="59"/>
        <v>2415</v>
      </c>
      <c r="DU10">
        <f>1638*1.15</f>
        <v>1883.6999999999998</v>
      </c>
      <c r="DV10">
        <f t="shared" si="60"/>
        <v>2520</v>
      </c>
      <c r="DW10">
        <f>1638*1.2</f>
        <v>1965.6</v>
      </c>
      <c r="DX10">
        <f t="shared" si="61"/>
        <v>2730</v>
      </c>
      <c r="DY10">
        <f>1638*1.3</f>
        <v>2129.4</v>
      </c>
      <c r="DZ10">
        <f t="shared" si="62"/>
        <v>2940</v>
      </c>
      <c r="EA10" s="52">
        <f>1638*1.4</f>
        <v>2293.2</v>
      </c>
      <c r="EB10">
        <f t="shared" si="63"/>
        <v>3150</v>
      </c>
      <c r="EC10">
        <f t="shared" si="64"/>
        <v>2457</v>
      </c>
      <c r="ED10">
        <f t="shared" si="65"/>
        <v>2730</v>
      </c>
      <c r="EE10">
        <f>1890*1.3</f>
        <v>2457</v>
      </c>
      <c r="EF10">
        <f t="shared" si="66"/>
        <v>2940</v>
      </c>
      <c r="EG10">
        <f>1890*1.4</f>
        <v>2646</v>
      </c>
      <c r="EH10">
        <f t="shared" si="67"/>
        <v>3150</v>
      </c>
      <c r="EI10">
        <f>1890*1.5</f>
        <v>2835</v>
      </c>
      <c r="EJ10">
        <f t="shared" si="68"/>
        <v>3360</v>
      </c>
      <c r="EK10">
        <f>1890*1.6</f>
        <v>3024</v>
      </c>
      <c r="EL10">
        <f t="shared" si="69"/>
        <v>3570</v>
      </c>
      <c r="EM10">
        <f>1890*1.7</f>
        <v>3213</v>
      </c>
      <c r="EN10">
        <f t="shared" si="70"/>
        <v>3780</v>
      </c>
      <c r="EO10">
        <f>1890*1.8</f>
        <v>3402</v>
      </c>
      <c r="EP10">
        <f t="shared" si="71"/>
        <v>4200</v>
      </c>
      <c r="EQ10">
        <f>1890*2</f>
        <v>3780</v>
      </c>
    </row>
    <row r="11" spans="1:147" ht="12.75">
      <c r="A11" s="34" t="s">
        <v>76</v>
      </c>
      <c r="B11" s="42">
        <v>900</v>
      </c>
      <c r="C11" s="42">
        <f t="shared" si="0"/>
        <v>958.5</v>
      </c>
      <c r="D11" s="42">
        <f t="shared" si="1"/>
        <v>1044.77</v>
      </c>
      <c r="E11" s="42">
        <f t="shared" si="2"/>
        <v>62.690000000000055</v>
      </c>
      <c r="F11" s="42">
        <f t="shared" si="3"/>
        <v>1107.46</v>
      </c>
      <c r="G11" s="42">
        <f t="shared" si="4"/>
        <v>1196.06</v>
      </c>
      <c r="H11" s="42">
        <f t="shared" si="5"/>
        <v>151.28999999999996</v>
      </c>
      <c r="I11" s="42">
        <f t="shared" si="6"/>
        <v>1242.02</v>
      </c>
      <c r="J11" s="42">
        <f t="shared" si="7"/>
        <v>45.960000000000036</v>
      </c>
      <c r="K11" s="42">
        <f t="shared" si="8"/>
        <v>1320.02</v>
      </c>
      <c r="L11" s="42">
        <f t="shared" si="9"/>
        <v>123.96000000000004</v>
      </c>
      <c r="M11" s="44">
        <f t="shared" si="72"/>
        <v>1800.03</v>
      </c>
      <c r="N11" s="44">
        <f t="shared" si="10"/>
        <v>480.01</v>
      </c>
      <c r="O11" s="33">
        <v>1800</v>
      </c>
      <c r="P11" s="46">
        <f t="shared" si="11"/>
        <v>479.98</v>
      </c>
      <c r="Q11" s="51">
        <f t="shared" si="12"/>
        <v>2070</v>
      </c>
      <c r="R11" s="46">
        <f t="shared" si="13"/>
        <v>2484</v>
      </c>
      <c r="S11" s="46">
        <f t="shared" si="14"/>
        <v>3600</v>
      </c>
      <c r="T11" s="33">
        <f t="shared" si="15"/>
        <v>662</v>
      </c>
      <c r="U11" s="33">
        <f t="shared" si="16"/>
        <v>960</v>
      </c>
      <c r="V11">
        <f t="shared" si="17"/>
        <v>662</v>
      </c>
      <c r="W11">
        <f t="shared" si="18"/>
        <v>960</v>
      </c>
      <c r="X11" s="38">
        <f t="shared" si="19"/>
        <v>1908</v>
      </c>
      <c r="Y11" s="33">
        <f>ROUND(X11*'[1]старость_доплаты2008'!$C$2*'[1]старость_доплаты2008'!$D$2,0)</f>
        <v>2704</v>
      </c>
      <c r="Z11" s="33">
        <f t="shared" si="20"/>
        <v>2022.48</v>
      </c>
      <c r="AA11" s="38">
        <f t="shared" si="21"/>
        <v>2070.18</v>
      </c>
      <c r="AB11" s="38">
        <f t="shared" si="22"/>
        <v>114.48000000000002</v>
      </c>
      <c r="AC11" s="35">
        <f t="shared" si="23"/>
        <v>162.17999999999984</v>
      </c>
      <c r="AD11" s="33">
        <f t="shared" si="24"/>
        <v>2225.44</v>
      </c>
      <c r="AE11" s="33">
        <f t="shared" si="25"/>
        <v>155.26000000000022</v>
      </c>
      <c r="AF11" s="33">
        <f>AF8*2</f>
        <v>2520</v>
      </c>
      <c r="AG11" s="33">
        <f t="shared" si="26"/>
        <v>294.55999999999995</v>
      </c>
      <c r="AH11" s="33">
        <f t="shared" si="27"/>
        <v>449.82000000000016</v>
      </c>
      <c r="AI11" s="42">
        <f t="shared" si="28"/>
        <v>2696.4</v>
      </c>
      <c r="AJ11" s="33">
        <f t="shared" si="29"/>
        <v>2658.6</v>
      </c>
      <c r="AK11" s="38">
        <f t="shared" si="73"/>
        <v>3090</v>
      </c>
      <c r="AL11" s="38">
        <f>ROUND(AJ11*AL$8/AJ$8,2)</f>
        <v>3048</v>
      </c>
      <c r="AM11" s="38">
        <f t="shared" si="30"/>
        <v>3300.12</v>
      </c>
      <c r="AN11" s="38">
        <f t="shared" si="31"/>
        <v>3900</v>
      </c>
      <c r="AO11" s="51">
        <f t="shared" si="32"/>
        <v>4153.5</v>
      </c>
      <c r="AP11" s="38"/>
      <c r="AQ11" s="33">
        <f t="shared" si="33"/>
        <v>3215.64</v>
      </c>
      <c r="AR11" s="33">
        <f t="shared" si="74"/>
        <v>3624</v>
      </c>
      <c r="AS11" s="33">
        <f t="shared" si="34"/>
        <v>3343.88</v>
      </c>
      <c r="AT11" s="8">
        <f>ROUND((430.67*1.092*1.161+430.67*1.092*1.161*1.06*2+430.67*1.092*1.161*1.06*1.06*9)/12,2)</f>
        <v>602.08</v>
      </c>
      <c r="AU11" s="8">
        <f t="shared" si="35"/>
        <v>3945.96</v>
      </c>
      <c r="AW11">
        <f t="shared" si="36"/>
        <v>4167.599999999999</v>
      </c>
      <c r="AX11">
        <v>613.69</v>
      </c>
      <c r="AY11">
        <f t="shared" si="37"/>
        <v>4781.289999999999</v>
      </c>
      <c r="AZ11">
        <f t="shared" si="38"/>
        <v>4348.8</v>
      </c>
      <c r="BA11">
        <f t="shared" si="39"/>
        <v>4962.49</v>
      </c>
      <c r="BB11">
        <f t="shared" si="40"/>
        <v>4711.2</v>
      </c>
      <c r="BC11">
        <f t="shared" si="41"/>
        <v>5324.889999999999</v>
      </c>
      <c r="BD11">
        <f t="shared" si="42"/>
        <v>5073.599999999999</v>
      </c>
      <c r="BE11">
        <f t="shared" si="43"/>
        <v>5687.289999999999</v>
      </c>
      <c r="BF11">
        <f t="shared" si="44"/>
        <v>5436</v>
      </c>
      <c r="BG11">
        <f t="shared" si="45"/>
        <v>6049.6900000000005</v>
      </c>
      <c r="BH11">
        <f t="shared" si="46"/>
        <v>5798.400000000001</v>
      </c>
      <c r="BI11">
        <f t="shared" si="47"/>
        <v>6412.09</v>
      </c>
      <c r="BJ11">
        <f t="shared" si="48"/>
        <v>6160.8</v>
      </c>
      <c r="BK11">
        <f t="shared" si="49"/>
        <v>6774.49</v>
      </c>
      <c r="BL11">
        <f t="shared" si="50"/>
        <v>6523.2</v>
      </c>
      <c r="BM11">
        <f t="shared" si="51"/>
        <v>7136.889999999999</v>
      </c>
      <c r="BN11">
        <f t="shared" si="52"/>
        <v>7248</v>
      </c>
      <c r="BO11">
        <f t="shared" si="53"/>
        <v>7861.6900000000005</v>
      </c>
      <c r="BP11" s="38">
        <f>BP8*AF11/AF8</f>
        <v>3120</v>
      </c>
      <c r="BQ11" s="33">
        <f t="shared" si="54"/>
        <v>600</v>
      </c>
      <c r="BR11" s="33">
        <f t="shared" si="55"/>
        <v>2904</v>
      </c>
      <c r="BS11" s="38">
        <f t="shared" si="56"/>
        <v>384</v>
      </c>
      <c r="BT11" s="33">
        <f>ROUND(BT8*BP11/BP8,2)</f>
        <v>3588</v>
      </c>
      <c r="BU11" s="33">
        <f t="shared" si="57"/>
        <v>468</v>
      </c>
      <c r="DE11" s="38">
        <f t="shared" si="58"/>
        <v>3300.12</v>
      </c>
      <c r="DF11" s="33">
        <f>DE11*DF6</f>
        <v>3900.0000060252</v>
      </c>
      <c r="DR11">
        <v>1638</v>
      </c>
      <c r="DS11">
        <v>1890</v>
      </c>
      <c r="DT11">
        <f t="shared" si="59"/>
        <v>2898</v>
      </c>
      <c r="DU11">
        <f>1638*1.15</f>
        <v>1883.6999999999998</v>
      </c>
      <c r="DV11">
        <f t="shared" si="60"/>
        <v>3024</v>
      </c>
      <c r="DW11">
        <f>1638*1.2</f>
        <v>1965.6</v>
      </c>
      <c r="DX11">
        <f t="shared" si="61"/>
        <v>3276</v>
      </c>
      <c r="DY11">
        <f>1638*1.3</f>
        <v>2129.4</v>
      </c>
      <c r="DZ11">
        <f t="shared" si="62"/>
        <v>3528</v>
      </c>
      <c r="EA11" s="52">
        <f>1638*1.4</f>
        <v>2293.2</v>
      </c>
      <c r="EB11">
        <f t="shared" si="63"/>
        <v>3780</v>
      </c>
      <c r="EC11">
        <f t="shared" si="64"/>
        <v>2457</v>
      </c>
      <c r="ED11">
        <f t="shared" si="65"/>
        <v>3276</v>
      </c>
      <c r="EE11">
        <f>1890*1.3</f>
        <v>2457</v>
      </c>
      <c r="EF11">
        <f t="shared" si="66"/>
        <v>3528</v>
      </c>
      <c r="EG11">
        <f>1890*1.4</f>
        <v>2646</v>
      </c>
      <c r="EH11">
        <f t="shared" si="67"/>
        <v>3780</v>
      </c>
      <c r="EI11">
        <f>1890*1.5</f>
        <v>2835</v>
      </c>
      <c r="EJ11">
        <f t="shared" si="68"/>
        <v>4032</v>
      </c>
      <c r="EK11">
        <f>1890*1.6</f>
        <v>3024</v>
      </c>
      <c r="EL11">
        <f t="shared" si="69"/>
        <v>4284</v>
      </c>
      <c r="EM11">
        <f>1890*1.7</f>
        <v>3213</v>
      </c>
      <c r="EN11">
        <f t="shared" si="70"/>
        <v>4536</v>
      </c>
      <c r="EO11">
        <f>1890*1.8</f>
        <v>3402</v>
      </c>
      <c r="EP11">
        <f t="shared" si="71"/>
        <v>5040</v>
      </c>
      <c r="EQ11">
        <f>1890*2</f>
        <v>3780</v>
      </c>
    </row>
    <row r="12" spans="1:146" ht="12.75">
      <c r="A12" s="32" t="s">
        <v>77</v>
      </c>
      <c r="B12" s="42"/>
      <c r="C12" s="42">
        <f t="shared" si="0"/>
        <v>0</v>
      </c>
      <c r="D12" s="42">
        <f t="shared" si="1"/>
        <v>0</v>
      </c>
      <c r="E12" s="42">
        <f t="shared" si="2"/>
        <v>0</v>
      </c>
      <c r="F12" s="42">
        <f t="shared" si="3"/>
        <v>0</v>
      </c>
      <c r="G12" s="42">
        <f t="shared" si="4"/>
        <v>0</v>
      </c>
      <c r="H12" s="42">
        <f t="shared" si="5"/>
        <v>0</v>
      </c>
      <c r="I12" s="42">
        <f t="shared" si="6"/>
        <v>0</v>
      </c>
      <c r="J12" s="42">
        <f t="shared" si="7"/>
        <v>0</v>
      </c>
      <c r="K12" s="42">
        <f t="shared" si="8"/>
        <v>0</v>
      </c>
      <c r="L12" s="42">
        <f t="shared" si="9"/>
        <v>0</v>
      </c>
      <c r="M12" s="44">
        <f t="shared" si="72"/>
        <v>0</v>
      </c>
      <c r="N12" s="44">
        <f t="shared" si="10"/>
        <v>0</v>
      </c>
      <c r="O12" s="33"/>
      <c r="P12" s="46">
        <f t="shared" si="11"/>
        <v>0</v>
      </c>
      <c r="Q12" s="51">
        <f t="shared" si="12"/>
        <v>0</v>
      </c>
      <c r="R12" s="46">
        <f t="shared" si="13"/>
        <v>0</v>
      </c>
      <c r="S12" s="46">
        <f t="shared" si="14"/>
        <v>0</v>
      </c>
      <c r="T12" s="33">
        <f t="shared" si="15"/>
        <v>0</v>
      </c>
      <c r="U12" s="33">
        <f t="shared" si="16"/>
        <v>0</v>
      </c>
      <c r="V12">
        <f t="shared" si="17"/>
        <v>0</v>
      </c>
      <c r="W12">
        <f t="shared" si="18"/>
        <v>0</v>
      </c>
      <c r="X12" s="38">
        <f t="shared" si="19"/>
        <v>0</v>
      </c>
      <c r="Y12" s="33">
        <f>ROUND(X12*'[1]старость_доплаты2008'!$C$2*'[1]старость_доплаты2008'!$D$2,0)</f>
        <v>0</v>
      </c>
      <c r="Z12" s="33">
        <f t="shared" si="20"/>
        <v>0</v>
      </c>
      <c r="AA12" s="38">
        <f t="shared" si="21"/>
        <v>0</v>
      </c>
      <c r="AB12" s="38">
        <f t="shared" si="22"/>
        <v>0</v>
      </c>
      <c r="AC12" s="35">
        <f t="shared" si="23"/>
        <v>0</v>
      </c>
      <c r="AD12" s="33">
        <f t="shared" si="24"/>
        <v>0</v>
      </c>
      <c r="AE12" s="33">
        <f t="shared" si="25"/>
        <v>0</v>
      </c>
      <c r="AF12" s="33"/>
      <c r="AG12" s="33">
        <f t="shared" si="26"/>
        <v>0</v>
      </c>
      <c r="AH12" s="33">
        <f t="shared" si="27"/>
        <v>0</v>
      </c>
      <c r="AI12" s="42">
        <f t="shared" si="28"/>
        <v>0</v>
      </c>
      <c r="AJ12" s="33">
        <f t="shared" si="29"/>
        <v>0</v>
      </c>
      <c r="AK12" s="38">
        <f t="shared" si="73"/>
        <v>0</v>
      </c>
      <c r="AL12" s="38"/>
      <c r="AM12" s="38">
        <f t="shared" si="30"/>
        <v>0</v>
      </c>
      <c r="AN12" s="38">
        <f t="shared" si="31"/>
        <v>0</v>
      </c>
      <c r="AO12" s="38">
        <f t="shared" si="32"/>
        <v>0</v>
      </c>
      <c r="AP12" s="38"/>
      <c r="AQ12" s="33">
        <f t="shared" si="33"/>
        <v>0</v>
      </c>
      <c r="AR12" s="33">
        <f t="shared" si="74"/>
        <v>0</v>
      </c>
      <c r="AS12" s="33">
        <f t="shared" si="34"/>
        <v>0</v>
      </c>
      <c r="AT12" s="8"/>
      <c r="AU12" s="8">
        <f t="shared" si="35"/>
        <v>0</v>
      </c>
      <c r="AW12">
        <f t="shared" si="36"/>
        <v>0</v>
      </c>
      <c r="AY12">
        <f t="shared" si="37"/>
        <v>0</v>
      </c>
      <c r="AZ12">
        <f t="shared" si="38"/>
        <v>0</v>
      </c>
      <c r="BA12">
        <f t="shared" si="39"/>
        <v>0</v>
      </c>
      <c r="BB12">
        <f t="shared" si="40"/>
        <v>0</v>
      </c>
      <c r="BC12">
        <f t="shared" si="41"/>
        <v>0</v>
      </c>
      <c r="BD12">
        <f t="shared" si="42"/>
        <v>0</v>
      </c>
      <c r="BE12">
        <f t="shared" si="43"/>
        <v>0</v>
      </c>
      <c r="BF12">
        <f t="shared" si="44"/>
        <v>0</v>
      </c>
      <c r="BG12">
        <f t="shared" si="45"/>
        <v>0</v>
      </c>
      <c r="BH12">
        <f t="shared" si="46"/>
        <v>0</v>
      </c>
      <c r="BI12">
        <f t="shared" si="47"/>
        <v>0</v>
      </c>
      <c r="BJ12">
        <f t="shared" si="48"/>
        <v>0</v>
      </c>
      <c r="BK12">
        <f t="shared" si="49"/>
        <v>0</v>
      </c>
      <c r="BL12">
        <f t="shared" si="50"/>
        <v>0</v>
      </c>
      <c r="BM12">
        <f t="shared" si="51"/>
        <v>0</v>
      </c>
      <c r="BN12">
        <f t="shared" si="52"/>
        <v>0</v>
      </c>
      <c r="BO12">
        <f t="shared" si="53"/>
        <v>0</v>
      </c>
      <c r="BP12" s="38"/>
      <c r="BQ12" s="33">
        <f t="shared" si="54"/>
        <v>0</v>
      </c>
      <c r="BR12" s="33">
        <f t="shared" si="55"/>
        <v>0</v>
      </c>
      <c r="BS12" s="38">
        <f t="shared" si="56"/>
        <v>0</v>
      </c>
      <c r="BT12" s="33"/>
      <c r="BU12" s="33">
        <f t="shared" si="57"/>
        <v>0</v>
      </c>
      <c r="DE12" s="38">
        <f t="shared" si="58"/>
        <v>0</v>
      </c>
      <c r="DF12" s="33"/>
      <c r="DT12">
        <f t="shared" si="59"/>
        <v>0</v>
      </c>
      <c r="DV12">
        <f t="shared" si="60"/>
        <v>0</v>
      </c>
      <c r="DX12">
        <f t="shared" si="61"/>
        <v>0</v>
      </c>
      <c r="DZ12">
        <f t="shared" si="62"/>
        <v>0</v>
      </c>
      <c r="EA12" s="52"/>
      <c r="EB12">
        <f t="shared" si="63"/>
        <v>0</v>
      </c>
      <c r="EC12">
        <f t="shared" si="64"/>
        <v>2457</v>
      </c>
      <c r="ED12">
        <f t="shared" si="65"/>
        <v>0</v>
      </c>
      <c r="EF12">
        <f t="shared" si="66"/>
        <v>0</v>
      </c>
      <c r="EH12">
        <f t="shared" si="67"/>
        <v>0</v>
      </c>
      <c r="EJ12">
        <f t="shared" si="68"/>
        <v>0</v>
      </c>
      <c r="EL12">
        <f t="shared" si="69"/>
        <v>0</v>
      </c>
      <c r="EN12">
        <f t="shared" si="70"/>
        <v>0</v>
      </c>
      <c r="EP12">
        <f t="shared" si="71"/>
        <v>0</v>
      </c>
    </row>
    <row r="13" spans="1:147" ht="12.75">
      <c r="A13" s="34" t="s">
        <v>73</v>
      </c>
      <c r="B13" s="42">
        <v>900</v>
      </c>
      <c r="C13" s="42">
        <f t="shared" si="0"/>
        <v>958.5</v>
      </c>
      <c r="D13" s="42">
        <f t="shared" si="1"/>
        <v>1044.77</v>
      </c>
      <c r="E13" s="42">
        <f t="shared" si="2"/>
        <v>62.690000000000055</v>
      </c>
      <c r="F13" s="42">
        <f t="shared" si="3"/>
        <v>1107.46</v>
      </c>
      <c r="G13" s="42">
        <f t="shared" si="4"/>
        <v>1196.06</v>
      </c>
      <c r="H13" s="42">
        <f t="shared" si="5"/>
        <v>151.28999999999996</v>
      </c>
      <c r="I13" s="42">
        <f t="shared" si="6"/>
        <v>1242.02</v>
      </c>
      <c r="J13" s="42">
        <f t="shared" si="7"/>
        <v>45.960000000000036</v>
      </c>
      <c r="K13" s="42">
        <f t="shared" si="8"/>
        <v>1320.02</v>
      </c>
      <c r="L13" s="42">
        <f t="shared" si="9"/>
        <v>123.96000000000004</v>
      </c>
      <c r="M13" s="44">
        <f t="shared" si="72"/>
        <v>1800.03</v>
      </c>
      <c r="N13" s="44">
        <f t="shared" si="10"/>
        <v>480.01</v>
      </c>
      <c r="O13" s="45">
        <v>1800</v>
      </c>
      <c r="P13" s="46">
        <f t="shared" si="11"/>
        <v>479.98</v>
      </c>
      <c r="Q13" s="47">
        <f t="shared" si="12"/>
        <v>2070</v>
      </c>
      <c r="R13" s="48">
        <f t="shared" si="13"/>
        <v>2484</v>
      </c>
      <c r="S13" s="48">
        <f t="shared" si="14"/>
        <v>3600</v>
      </c>
      <c r="T13" s="49">
        <f t="shared" si="15"/>
        <v>662</v>
      </c>
      <c r="U13" s="49">
        <f t="shared" si="16"/>
        <v>960</v>
      </c>
      <c r="V13">
        <f t="shared" si="17"/>
        <v>662</v>
      </c>
      <c r="W13">
        <f t="shared" si="18"/>
        <v>960</v>
      </c>
      <c r="X13" s="38">
        <f t="shared" si="19"/>
        <v>1908</v>
      </c>
      <c r="Y13" s="33">
        <f>ROUND(X13*'[1]старость_доплаты2008'!$C$2*'[1]старость_доплаты2008'!$D$2,0)</f>
        <v>2704</v>
      </c>
      <c r="Z13" s="33">
        <f t="shared" si="20"/>
        <v>2022.48</v>
      </c>
      <c r="AA13" s="38">
        <f t="shared" si="21"/>
        <v>2070.18</v>
      </c>
      <c r="AB13" s="38">
        <f t="shared" si="22"/>
        <v>114.48000000000002</v>
      </c>
      <c r="AC13" s="35">
        <f t="shared" si="23"/>
        <v>162.17999999999984</v>
      </c>
      <c r="AD13" s="33">
        <f t="shared" si="24"/>
        <v>2225.44</v>
      </c>
      <c r="AE13" s="33">
        <f t="shared" si="25"/>
        <v>155.26000000000022</v>
      </c>
      <c r="AF13" s="33">
        <f>AF11</f>
        <v>2520</v>
      </c>
      <c r="AG13" s="33">
        <f t="shared" si="26"/>
        <v>294.55999999999995</v>
      </c>
      <c r="AH13" s="33">
        <f t="shared" si="27"/>
        <v>449.82000000000016</v>
      </c>
      <c r="AI13" s="42">
        <f t="shared" si="28"/>
        <v>2696.4</v>
      </c>
      <c r="AJ13" s="33">
        <f t="shared" si="29"/>
        <v>2658.6</v>
      </c>
      <c r="AK13" s="38">
        <f t="shared" si="73"/>
        <v>3090</v>
      </c>
      <c r="AL13" s="38">
        <f>AL8*2</f>
        <v>3048</v>
      </c>
      <c r="AM13" s="38">
        <f t="shared" si="30"/>
        <v>3300.12</v>
      </c>
      <c r="AN13" s="38">
        <f t="shared" si="31"/>
        <v>3900</v>
      </c>
      <c r="AO13" s="51">
        <f t="shared" si="32"/>
        <v>4153.5</v>
      </c>
      <c r="AP13" s="38"/>
      <c r="AQ13" s="33">
        <f t="shared" si="33"/>
        <v>3215.64</v>
      </c>
      <c r="AR13" s="33">
        <f t="shared" si="74"/>
        <v>3624</v>
      </c>
      <c r="AS13" s="33">
        <f t="shared" si="34"/>
        <v>3343.88</v>
      </c>
      <c r="AT13" s="8">
        <f>ROUND((430.67*1.092*1.161+430.67*1.092*1.161*1.06*2+430.67*1.092*1.161*1.06*1.06*9)/12,2)</f>
        <v>602.08</v>
      </c>
      <c r="AU13" s="8">
        <f t="shared" si="35"/>
        <v>3945.96</v>
      </c>
      <c r="AW13">
        <f t="shared" si="36"/>
        <v>4167.599999999999</v>
      </c>
      <c r="AX13">
        <v>613.69</v>
      </c>
      <c r="AY13">
        <f t="shared" si="37"/>
        <v>4781.289999999999</v>
      </c>
      <c r="AZ13">
        <f t="shared" si="38"/>
        <v>4348.8</v>
      </c>
      <c r="BA13">
        <f t="shared" si="39"/>
        <v>4962.49</v>
      </c>
      <c r="BB13">
        <f t="shared" si="40"/>
        <v>4711.2</v>
      </c>
      <c r="BC13">
        <f t="shared" si="41"/>
        <v>5324.889999999999</v>
      </c>
      <c r="BD13">
        <f t="shared" si="42"/>
        <v>5073.599999999999</v>
      </c>
      <c r="BE13">
        <f t="shared" si="43"/>
        <v>5687.289999999999</v>
      </c>
      <c r="BF13">
        <f t="shared" si="44"/>
        <v>5436</v>
      </c>
      <c r="BG13">
        <f t="shared" si="45"/>
        <v>6049.6900000000005</v>
      </c>
      <c r="BH13">
        <f t="shared" si="46"/>
        <v>5798.400000000001</v>
      </c>
      <c r="BI13">
        <f t="shared" si="47"/>
        <v>6412.09</v>
      </c>
      <c r="BJ13">
        <f t="shared" si="48"/>
        <v>6160.8</v>
      </c>
      <c r="BK13">
        <f t="shared" si="49"/>
        <v>6774.49</v>
      </c>
      <c r="BL13">
        <f t="shared" si="50"/>
        <v>6523.2</v>
      </c>
      <c r="BM13">
        <f t="shared" si="51"/>
        <v>7136.889999999999</v>
      </c>
      <c r="BN13">
        <f t="shared" si="52"/>
        <v>7248</v>
      </c>
      <c r="BO13">
        <f t="shared" si="53"/>
        <v>7861.6900000000005</v>
      </c>
      <c r="BP13" s="38">
        <f>BP8*2</f>
        <v>3120</v>
      </c>
      <c r="BQ13" s="33">
        <f t="shared" si="54"/>
        <v>600</v>
      </c>
      <c r="BR13" s="33">
        <f t="shared" si="55"/>
        <v>2904</v>
      </c>
      <c r="BS13" s="38">
        <f t="shared" si="56"/>
        <v>384</v>
      </c>
      <c r="BT13" s="33">
        <f>BT8*2</f>
        <v>3588</v>
      </c>
      <c r="BU13" s="33">
        <f t="shared" si="57"/>
        <v>468</v>
      </c>
      <c r="DE13" s="38">
        <f t="shared" si="58"/>
        <v>3300.12</v>
      </c>
      <c r="DF13" s="33">
        <f>DF8*2</f>
        <v>3900</v>
      </c>
      <c r="DR13">
        <v>1638</v>
      </c>
      <c r="DS13">
        <v>1890</v>
      </c>
      <c r="DT13">
        <f t="shared" si="59"/>
        <v>2898</v>
      </c>
      <c r="DU13">
        <f>1638*1.15</f>
        <v>1883.6999999999998</v>
      </c>
      <c r="DV13">
        <f t="shared" si="60"/>
        <v>3024</v>
      </c>
      <c r="DW13">
        <f>1638*1.2</f>
        <v>1965.6</v>
      </c>
      <c r="DX13">
        <f t="shared" si="61"/>
        <v>3276</v>
      </c>
      <c r="DY13">
        <f>1638*1.3</f>
        <v>2129.4</v>
      </c>
      <c r="DZ13">
        <f t="shared" si="62"/>
        <v>3528</v>
      </c>
      <c r="EA13" s="52">
        <f>1638*1.4</f>
        <v>2293.2</v>
      </c>
      <c r="EB13">
        <f t="shared" si="63"/>
        <v>3780</v>
      </c>
      <c r="EC13">
        <f t="shared" si="64"/>
        <v>2457</v>
      </c>
      <c r="ED13">
        <f t="shared" si="65"/>
        <v>3276</v>
      </c>
      <c r="EE13">
        <f>1890*1.3</f>
        <v>2457</v>
      </c>
      <c r="EF13">
        <f t="shared" si="66"/>
        <v>3528</v>
      </c>
      <c r="EG13">
        <f>1890*1.4</f>
        <v>2646</v>
      </c>
      <c r="EH13">
        <f t="shared" si="67"/>
        <v>3780</v>
      </c>
      <c r="EI13">
        <f>1890*1.5</f>
        <v>2835</v>
      </c>
      <c r="EJ13">
        <f t="shared" si="68"/>
        <v>4032</v>
      </c>
      <c r="EK13">
        <f>1890*1.6</f>
        <v>3024</v>
      </c>
      <c r="EL13">
        <f t="shared" si="69"/>
        <v>4284</v>
      </c>
      <c r="EM13">
        <f>1890*1.7</f>
        <v>3213</v>
      </c>
      <c r="EN13">
        <f t="shared" si="70"/>
        <v>4536</v>
      </c>
      <c r="EO13">
        <f>1890*1.8</f>
        <v>3402</v>
      </c>
      <c r="EP13">
        <f t="shared" si="71"/>
        <v>5040</v>
      </c>
      <c r="EQ13">
        <f>1890*2</f>
        <v>3780</v>
      </c>
    </row>
    <row r="14" spans="1:147" ht="12.75">
      <c r="A14" s="34" t="s">
        <v>74</v>
      </c>
      <c r="B14" s="42">
        <v>1050</v>
      </c>
      <c r="C14" s="42">
        <f t="shared" si="0"/>
        <v>1118.25</v>
      </c>
      <c r="D14" s="42">
        <f t="shared" si="1"/>
        <v>1218.89</v>
      </c>
      <c r="E14" s="42">
        <f t="shared" si="2"/>
        <v>73.12999999999988</v>
      </c>
      <c r="F14" s="42">
        <f t="shared" si="3"/>
        <v>1292.02</v>
      </c>
      <c r="G14" s="42">
        <f t="shared" si="4"/>
        <v>1395.38</v>
      </c>
      <c r="H14" s="42">
        <f t="shared" si="5"/>
        <v>176.49</v>
      </c>
      <c r="I14" s="42">
        <f t="shared" si="6"/>
        <v>1449</v>
      </c>
      <c r="J14" s="42">
        <f t="shared" si="7"/>
        <v>53.61999999999989</v>
      </c>
      <c r="K14" s="42">
        <f t="shared" si="8"/>
        <v>1540</v>
      </c>
      <c r="L14" s="42">
        <f t="shared" si="9"/>
        <v>144.6199999999999</v>
      </c>
      <c r="M14" s="44">
        <f t="shared" si="72"/>
        <v>2100</v>
      </c>
      <c r="N14" s="44">
        <f t="shared" si="10"/>
        <v>560</v>
      </c>
      <c r="O14" s="33">
        <v>2100</v>
      </c>
      <c r="P14" s="46">
        <f t="shared" si="11"/>
        <v>560</v>
      </c>
      <c r="Q14" s="51">
        <f t="shared" si="12"/>
        <v>2415</v>
      </c>
      <c r="R14" s="46">
        <f t="shared" si="13"/>
        <v>2898</v>
      </c>
      <c r="S14" s="46">
        <f t="shared" si="14"/>
        <v>4200</v>
      </c>
      <c r="T14" s="33">
        <f t="shared" si="15"/>
        <v>773</v>
      </c>
      <c r="U14" s="33">
        <f t="shared" si="16"/>
        <v>1120</v>
      </c>
      <c r="V14">
        <f t="shared" si="17"/>
        <v>773</v>
      </c>
      <c r="W14">
        <f t="shared" si="18"/>
        <v>1120</v>
      </c>
      <c r="X14" s="38">
        <f t="shared" si="19"/>
        <v>2226</v>
      </c>
      <c r="Y14" s="33">
        <f>ROUND(X14*'[1]старость_доплаты2008'!$C$2*'[1]старость_доплаты2008'!$D$2,0)</f>
        <v>3154</v>
      </c>
      <c r="Z14" s="33">
        <f t="shared" si="20"/>
        <v>2359.56</v>
      </c>
      <c r="AA14" s="38">
        <f t="shared" si="21"/>
        <v>2415.21</v>
      </c>
      <c r="AB14" s="38">
        <f t="shared" si="22"/>
        <v>133.55999999999995</v>
      </c>
      <c r="AC14" s="35">
        <f t="shared" si="23"/>
        <v>189.21000000000004</v>
      </c>
      <c r="AD14" s="33">
        <f t="shared" si="24"/>
        <v>2596.35</v>
      </c>
      <c r="AE14" s="33">
        <f t="shared" si="25"/>
        <v>181.13999999999987</v>
      </c>
      <c r="AF14" s="33">
        <v>2940</v>
      </c>
      <c r="AG14" s="33">
        <f t="shared" si="26"/>
        <v>343.6500000000001</v>
      </c>
      <c r="AH14" s="33">
        <f t="shared" si="27"/>
        <v>524.79</v>
      </c>
      <c r="AI14" s="42">
        <f t="shared" si="28"/>
        <v>3145.8</v>
      </c>
      <c r="AJ14" s="33">
        <f t="shared" si="29"/>
        <v>3101.7</v>
      </c>
      <c r="AK14" s="38">
        <f t="shared" si="73"/>
        <v>3605</v>
      </c>
      <c r="AL14" s="38">
        <f>ROUND(AJ14*AL$8/AJ$8,2)</f>
        <v>3556</v>
      </c>
      <c r="AM14" s="38">
        <f t="shared" si="30"/>
        <v>3850.14</v>
      </c>
      <c r="AN14" s="38">
        <f t="shared" si="31"/>
        <v>4550</v>
      </c>
      <c r="AO14" s="38">
        <f t="shared" si="32"/>
        <v>4845.75</v>
      </c>
      <c r="AP14" s="38"/>
      <c r="AQ14" s="33">
        <f t="shared" si="33"/>
        <v>3751.58</v>
      </c>
      <c r="AR14" s="33">
        <f t="shared" si="74"/>
        <v>4228</v>
      </c>
      <c r="AS14" s="33">
        <f t="shared" si="34"/>
        <v>3901.19</v>
      </c>
      <c r="AT14" s="8">
        <f>ROUND((430.67*1.092*1.161+430.67*1.092*1.161*1.06*2+430.67*1.092*1.161*1.06*1.06*9)/12,2)</f>
        <v>602.08</v>
      </c>
      <c r="AU14" s="8">
        <f t="shared" si="35"/>
        <v>4503.27</v>
      </c>
      <c r="AW14">
        <f t="shared" si="36"/>
        <v>4862.2</v>
      </c>
      <c r="AX14">
        <v>613.69</v>
      </c>
      <c r="AY14">
        <f t="shared" si="37"/>
        <v>5475.889999999999</v>
      </c>
      <c r="AZ14">
        <f t="shared" si="38"/>
        <v>5073.599999999999</v>
      </c>
      <c r="BA14">
        <f t="shared" si="39"/>
        <v>5687.289999999999</v>
      </c>
      <c r="BB14">
        <f t="shared" si="40"/>
        <v>5496.400000000001</v>
      </c>
      <c r="BC14">
        <f t="shared" si="41"/>
        <v>6110.09</v>
      </c>
      <c r="BD14">
        <f t="shared" si="42"/>
        <v>5919.2</v>
      </c>
      <c r="BE14">
        <f t="shared" si="43"/>
        <v>6532.889999999999</v>
      </c>
      <c r="BF14">
        <f t="shared" si="44"/>
        <v>6342</v>
      </c>
      <c r="BG14">
        <f t="shared" si="45"/>
        <v>6955.6900000000005</v>
      </c>
      <c r="BH14">
        <f t="shared" si="46"/>
        <v>6764.8</v>
      </c>
      <c r="BI14">
        <f t="shared" si="47"/>
        <v>7378.49</v>
      </c>
      <c r="BJ14">
        <f t="shared" si="48"/>
        <v>7187.599999999999</v>
      </c>
      <c r="BK14">
        <f t="shared" si="49"/>
        <v>7801.289999999999</v>
      </c>
      <c r="BL14">
        <f t="shared" si="50"/>
        <v>7610.400000000001</v>
      </c>
      <c r="BM14">
        <f t="shared" si="51"/>
        <v>8224.09</v>
      </c>
      <c r="BN14">
        <f t="shared" si="52"/>
        <v>8456</v>
      </c>
      <c r="BO14">
        <f t="shared" si="53"/>
        <v>9069.69</v>
      </c>
      <c r="BP14" s="38">
        <f>BP13*AF14/AF13</f>
        <v>3640</v>
      </c>
      <c r="BQ14" s="33">
        <f t="shared" si="54"/>
        <v>700</v>
      </c>
      <c r="BR14" s="33">
        <f t="shared" si="55"/>
        <v>3388</v>
      </c>
      <c r="BS14" s="38">
        <f t="shared" si="56"/>
        <v>448</v>
      </c>
      <c r="BT14" s="33">
        <f>ROUND(BT13*BP14/BP13,2)</f>
        <v>4186</v>
      </c>
      <c r="BU14" s="33">
        <f t="shared" si="57"/>
        <v>546</v>
      </c>
      <c r="DE14" s="38">
        <f t="shared" si="58"/>
        <v>3850.14</v>
      </c>
      <c r="DF14" s="33">
        <f>DE14*DF6</f>
        <v>4550.0000070294</v>
      </c>
      <c r="DR14">
        <v>1638</v>
      </c>
      <c r="DS14">
        <v>1890</v>
      </c>
      <c r="DT14">
        <f t="shared" si="59"/>
        <v>3380.9999999999995</v>
      </c>
      <c r="DU14">
        <f>1638*1.15</f>
        <v>1883.6999999999998</v>
      </c>
      <c r="DV14">
        <f t="shared" si="60"/>
        <v>3528</v>
      </c>
      <c r="DW14">
        <f>1638*1.2</f>
        <v>1965.6</v>
      </c>
      <c r="DX14">
        <f t="shared" si="61"/>
        <v>3822</v>
      </c>
      <c r="DY14">
        <f>1638*1.3</f>
        <v>2129.4</v>
      </c>
      <c r="DZ14">
        <f t="shared" si="62"/>
        <v>4116</v>
      </c>
      <c r="EA14" s="52">
        <f>1638*1.4</f>
        <v>2293.2</v>
      </c>
      <c r="EB14">
        <f t="shared" si="63"/>
        <v>4410</v>
      </c>
      <c r="EC14">
        <f t="shared" si="64"/>
        <v>2457</v>
      </c>
      <c r="ED14">
        <f t="shared" si="65"/>
        <v>3822</v>
      </c>
      <c r="EE14">
        <f>1890*1.3</f>
        <v>2457</v>
      </c>
      <c r="EF14">
        <f t="shared" si="66"/>
        <v>4116</v>
      </c>
      <c r="EG14">
        <f>1890*1.4</f>
        <v>2646</v>
      </c>
      <c r="EH14">
        <f t="shared" si="67"/>
        <v>4410</v>
      </c>
      <c r="EI14">
        <f>1890*1.5</f>
        <v>2835</v>
      </c>
      <c r="EJ14">
        <f t="shared" si="68"/>
        <v>4704</v>
      </c>
      <c r="EK14">
        <f>1890*1.6</f>
        <v>3024</v>
      </c>
      <c r="EL14">
        <f t="shared" si="69"/>
        <v>4998</v>
      </c>
      <c r="EM14">
        <f>1890*1.7</f>
        <v>3213</v>
      </c>
      <c r="EN14">
        <f t="shared" si="70"/>
        <v>5292</v>
      </c>
      <c r="EO14">
        <f>1890*1.8</f>
        <v>3402</v>
      </c>
      <c r="EP14">
        <f t="shared" si="71"/>
        <v>5880</v>
      </c>
      <c r="EQ14">
        <f>1890*2</f>
        <v>3780</v>
      </c>
    </row>
    <row r="15" spans="1:147" ht="12.75">
      <c r="A15" s="34" t="s">
        <v>75</v>
      </c>
      <c r="B15" s="42">
        <v>1200</v>
      </c>
      <c r="C15" s="42">
        <f t="shared" si="0"/>
        <v>1278</v>
      </c>
      <c r="D15" s="42">
        <f t="shared" si="1"/>
        <v>1393.02</v>
      </c>
      <c r="E15" s="42">
        <f t="shared" si="2"/>
        <v>83.57999999999993</v>
      </c>
      <c r="F15" s="42">
        <f t="shared" si="3"/>
        <v>1476.6</v>
      </c>
      <c r="G15" s="42">
        <f t="shared" si="4"/>
        <v>1594.73</v>
      </c>
      <c r="H15" s="42">
        <f t="shared" si="5"/>
        <v>201.71000000000004</v>
      </c>
      <c r="I15" s="42">
        <f t="shared" si="6"/>
        <v>1656.01</v>
      </c>
      <c r="J15" s="42">
        <f t="shared" si="7"/>
        <v>61.27999999999997</v>
      </c>
      <c r="K15" s="42">
        <f t="shared" si="8"/>
        <v>1760.01</v>
      </c>
      <c r="L15" s="42">
        <f t="shared" si="9"/>
        <v>165.27999999999997</v>
      </c>
      <c r="M15" s="44">
        <f t="shared" si="72"/>
        <v>2400.01</v>
      </c>
      <c r="N15" s="44">
        <f t="shared" si="10"/>
        <v>640.0000000000002</v>
      </c>
      <c r="O15" s="33">
        <v>2400</v>
      </c>
      <c r="P15" s="46">
        <f t="shared" si="11"/>
        <v>639.99</v>
      </c>
      <c r="Q15" s="51">
        <f t="shared" si="12"/>
        <v>2760</v>
      </c>
      <c r="R15" s="46">
        <f t="shared" si="13"/>
        <v>3312</v>
      </c>
      <c r="S15" s="46">
        <f t="shared" si="14"/>
        <v>4800</v>
      </c>
      <c r="T15" s="33">
        <f t="shared" si="15"/>
        <v>883</v>
      </c>
      <c r="U15" s="33">
        <f t="shared" si="16"/>
        <v>1280</v>
      </c>
      <c r="V15">
        <f t="shared" si="17"/>
        <v>883</v>
      </c>
      <c r="W15">
        <f t="shared" si="18"/>
        <v>1280</v>
      </c>
      <c r="X15" s="38">
        <f t="shared" si="19"/>
        <v>2544</v>
      </c>
      <c r="Y15" s="33">
        <f>ROUND(X15*'[1]старость_доплаты2008'!$C$2*'[1]старость_доплаты2008'!$D$2,0)</f>
        <v>3605</v>
      </c>
      <c r="Z15" s="33">
        <f t="shared" si="20"/>
        <v>2696.6400000000003</v>
      </c>
      <c r="AA15" s="38">
        <f t="shared" si="21"/>
        <v>2760.24</v>
      </c>
      <c r="AB15" s="38">
        <f t="shared" si="22"/>
        <v>152.64000000000033</v>
      </c>
      <c r="AC15" s="35">
        <f t="shared" si="23"/>
        <v>216.23999999999978</v>
      </c>
      <c r="AD15" s="33">
        <f t="shared" si="24"/>
        <v>2967.26</v>
      </c>
      <c r="AE15" s="33">
        <f t="shared" si="25"/>
        <v>207.02000000000044</v>
      </c>
      <c r="AF15" s="33">
        <v>3360</v>
      </c>
      <c r="AG15" s="33">
        <f t="shared" si="26"/>
        <v>392.7399999999998</v>
      </c>
      <c r="AH15" s="33">
        <f t="shared" si="27"/>
        <v>599.7600000000002</v>
      </c>
      <c r="AI15" s="42">
        <f t="shared" si="28"/>
        <v>3595.2</v>
      </c>
      <c r="AJ15" s="33">
        <f t="shared" si="29"/>
        <v>3544.8</v>
      </c>
      <c r="AK15" s="38">
        <f t="shared" si="73"/>
        <v>4120</v>
      </c>
      <c r="AL15" s="38">
        <f>ROUND(AJ15*AL$8/AJ$8,2)</f>
        <v>4064</v>
      </c>
      <c r="AM15" s="38">
        <f t="shared" si="30"/>
        <v>4400.16</v>
      </c>
      <c r="AN15" s="38">
        <f t="shared" si="31"/>
        <v>5200</v>
      </c>
      <c r="AO15" s="51">
        <f t="shared" si="32"/>
        <v>5538</v>
      </c>
      <c r="AP15" s="38"/>
      <c r="AQ15" s="33">
        <f t="shared" si="33"/>
        <v>4287.52</v>
      </c>
      <c r="AR15" s="33">
        <f t="shared" si="74"/>
        <v>4832</v>
      </c>
      <c r="AS15" s="33">
        <f t="shared" si="34"/>
        <v>4458.51</v>
      </c>
      <c r="AT15" s="8">
        <f>ROUND((430.67*1.092*1.161+430.67*1.092*1.161*1.06*2+430.67*1.092*1.161*1.06*1.06*9)/12,2)</f>
        <v>602.08</v>
      </c>
      <c r="AU15" s="8">
        <f t="shared" si="35"/>
        <v>5060.59</v>
      </c>
      <c r="AW15">
        <f t="shared" si="36"/>
        <v>5556.799999999999</v>
      </c>
      <c r="AX15">
        <v>613.69</v>
      </c>
      <c r="AY15">
        <f t="shared" si="37"/>
        <v>6170.49</v>
      </c>
      <c r="AZ15">
        <f t="shared" si="38"/>
        <v>5798.4</v>
      </c>
      <c r="BA15">
        <f t="shared" si="39"/>
        <v>6412.09</v>
      </c>
      <c r="BB15">
        <f t="shared" si="40"/>
        <v>6281.6</v>
      </c>
      <c r="BC15">
        <f t="shared" si="41"/>
        <v>6895.290000000001</v>
      </c>
      <c r="BD15">
        <f t="shared" si="42"/>
        <v>6764.799999999999</v>
      </c>
      <c r="BE15">
        <f t="shared" si="43"/>
        <v>7378.49</v>
      </c>
      <c r="BF15">
        <f t="shared" si="44"/>
        <v>7248</v>
      </c>
      <c r="BG15">
        <f t="shared" si="45"/>
        <v>7861.6900000000005</v>
      </c>
      <c r="BH15">
        <f t="shared" si="46"/>
        <v>7731.200000000001</v>
      </c>
      <c r="BI15">
        <f t="shared" si="47"/>
        <v>8344.890000000001</v>
      </c>
      <c r="BJ15">
        <f t="shared" si="48"/>
        <v>8214.4</v>
      </c>
      <c r="BK15">
        <f t="shared" si="49"/>
        <v>8828.09</v>
      </c>
      <c r="BL15">
        <f t="shared" si="50"/>
        <v>8697.6</v>
      </c>
      <c r="BM15">
        <f t="shared" si="51"/>
        <v>9311.29</v>
      </c>
      <c r="BN15">
        <f t="shared" si="52"/>
        <v>9664</v>
      </c>
      <c r="BO15">
        <f t="shared" si="53"/>
        <v>10277.69</v>
      </c>
      <c r="BP15" s="38">
        <f>BP13*AF15/AF13</f>
        <v>4160</v>
      </c>
      <c r="BQ15" s="33">
        <f t="shared" si="54"/>
        <v>800</v>
      </c>
      <c r="BR15" s="33">
        <f t="shared" si="55"/>
        <v>3872</v>
      </c>
      <c r="BS15" s="38">
        <f t="shared" si="56"/>
        <v>512</v>
      </c>
      <c r="BT15" s="33">
        <f>ROUND(BT13*BP15/BP13,2)</f>
        <v>4784</v>
      </c>
      <c r="BU15" s="33">
        <f t="shared" si="57"/>
        <v>624</v>
      </c>
      <c r="DE15" s="38">
        <f t="shared" si="58"/>
        <v>4400.16</v>
      </c>
      <c r="DF15" s="33">
        <f>DE15*DF6</f>
        <v>5200.0000080336</v>
      </c>
      <c r="DR15">
        <v>1638</v>
      </c>
      <c r="DS15">
        <v>1890</v>
      </c>
      <c r="DT15">
        <f t="shared" si="59"/>
        <v>3863.9999999999995</v>
      </c>
      <c r="DU15">
        <f>1638*1.15</f>
        <v>1883.6999999999998</v>
      </c>
      <c r="DV15">
        <f t="shared" si="60"/>
        <v>4032</v>
      </c>
      <c r="DW15">
        <f>1638*1.2</f>
        <v>1965.6</v>
      </c>
      <c r="DX15">
        <f t="shared" si="61"/>
        <v>4368</v>
      </c>
      <c r="DY15">
        <f>1638*1.3</f>
        <v>2129.4</v>
      </c>
      <c r="DZ15">
        <f t="shared" si="62"/>
        <v>4704</v>
      </c>
      <c r="EA15" s="52">
        <f>1638*1.4</f>
        <v>2293.2</v>
      </c>
      <c r="EB15">
        <f t="shared" si="63"/>
        <v>5040</v>
      </c>
      <c r="EC15">
        <f t="shared" si="64"/>
        <v>2457</v>
      </c>
      <c r="ED15">
        <f t="shared" si="65"/>
        <v>4368</v>
      </c>
      <c r="EE15">
        <f>1890*1.3</f>
        <v>2457</v>
      </c>
      <c r="EF15">
        <f t="shared" si="66"/>
        <v>4704</v>
      </c>
      <c r="EG15">
        <f>1890*1.4</f>
        <v>2646</v>
      </c>
      <c r="EH15">
        <f t="shared" si="67"/>
        <v>5040</v>
      </c>
      <c r="EI15">
        <f>1890*1.5</f>
        <v>2835</v>
      </c>
      <c r="EJ15">
        <f t="shared" si="68"/>
        <v>5376</v>
      </c>
      <c r="EK15">
        <f>1890*1.6</f>
        <v>3024</v>
      </c>
      <c r="EL15">
        <f t="shared" si="69"/>
        <v>5712</v>
      </c>
      <c r="EM15">
        <f>1890*1.7</f>
        <v>3213</v>
      </c>
      <c r="EN15">
        <f t="shared" si="70"/>
        <v>6048</v>
      </c>
      <c r="EO15">
        <f>1890*1.8</f>
        <v>3402</v>
      </c>
      <c r="EP15">
        <f t="shared" si="71"/>
        <v>6720</v>
      </c>
      <c r="EQ15">
        <f>1890*2</f>
        <v>3780</v>
      </c>
    </row>
    <row r="16" spans="1:147" ht="12.75">
      <c r="A16" s="34" t="s">
        <v>76</v>
      </c>
      <c r="B16" s="42">
        <v>1350</v>
      </c>
      <c r="C16" s="42">
        <f t="shared" si="0"/>
        <v>1437.75</v>
      </c>
      <c r="D16" s="42">
        <f t="shared" si="1"/>
        <v>1567.15</v>
      </c>
      <c r="E16" s="42">
        <f t="shared" si="2"/>
        <v>94.02999999999997</v>
      </c>
      <c r="F16" s="42">
        <f t="shared" si="3"/>
        <v>1661.18</v>
      </c>
      <c r="G16" s="42">
        <f t="shared" si="4"/>
        <v>1794.07</v>
      </c>
      <c r="H16" s="42">
        <f t="shared" si="5"/>
        <v>226.91999999999985</v>
      </c>
      <c r="I16" s="42">
        <f t="shared" si="6"/>
        <v>1863.01</v>
      </c>
      <c r="J16" s="42">
        <f t="shared" si="7"/>
        <v>68.94000000000005</v>
      </c>
      <c r="K16" s="42">
        <f t="shared" si="8"/>
        <v>1980.01</v>
      </c>
      <c r="L16" s="42">
        <f t="shared" si="9"/>
        <v>185.94000000000005</v>
      </c>
      <c r="M16" s="44">
        <f t="shared" si="72"/>
        <v>2700.01</v>
      </c>
      <c r="N16" s="44">
        <f t="shared" si="10"/>
        <v>720.0000000000002</v>
      </c>
      <c r="O16" s="33">
        <v>2700</v>
      </c>
      <c r="P16" s="46">
        <f t="shared" si="11"/>
        <v>719.99</v>
      </c>
      <c r="Q16" s="51">
        <f t="shared" si="12"/>
        <v>3105</v>
      </c>
      <c r="R16" s="46">
        <f t="shared" si="13"/>
        <v>3726</v>
      </c>
      <c r="S16" s="46">
        <f t="shared" si="14"/>
        <v>5400</v>
      </c>
      <c r="T16" s="33">
        <f t="shared" si="15"/>
        <v>994</v>
      </c>
      <c r="U16" s="33">
        <f t="shared" si="16"/>
        <v>1440</v>
      </c>
      <c r="V16">
        <f t="shared" si="17"/>
        <v>994</v>
      </c>
      <c r="W16">
        <f t="shared" si="18"/>
        <v>1440</v>
      </c>
      <c r="X16" s="38">
        <f t="shared" si="19"/>
        <v>2862</v>
      </c>
      <c r="Y16" s="33">
        <f>ROUND(X16*'[1]старость_доплаты2008'!$C$2*'[1]старость_доплаты2008'!$D$2,0)</f>
        <v>4056</v>
      </c>
      <c r="Z16" s="33">
        <f t="shared" si="20"/>
        <v>3033.7200000000003</v>
      </c>
      <c r="AA16" s="38">
        <f t="shared" si="21"/>
        <v>3105.27</v>
      </c>
      <c r="AB16" s="38">
        <f t="shared" si="22"/>
        <v>171.72000000000025</v>
      </c>
      <c r="AC16" s="35">
        <f t="shared" si="23"/>
        <v>243.26999999999998</v>
      </c>
      <c r="AD16" s="33">
        <f t="shared" si="24"/>
        <v>3338.17</v>
      </c>
      <c r="AE16" s="33">
        <f t="shared" si="25"/>
        <v>232.9000000000001</v>
      </c>
      <c r="AF16" s="33">
        <v>3780</v>
      </c>
      <c r="AG16" s="33">
        <f t="shared" si="26"/>
        <v>441.8299999999999</v>
      </c>
      <c r="AH16" s="33">
        <f t="shared" si="27"/>
        <v>674.73</v>
      </c>
      <c r="AI16" s="42">
        <f t="shared" si="28"/>
        <v>4044.6</v>
      </c>
      <c r="AJ16" s="33">
        <f t="shared" si="29"/>
        <v>3987.9</v>
      </c>
      <c r="AK16" s="38">
        <f t="shared" si="73"/>
        <v>4635</v>
      </c>
      <c r="AL16" s="38">
        <f>ROUND(AJ16*AL$8/AJ$8,2)</f>
        <v>4572</v>
      </c>
      <c r="AM16" s="38">
        <f t="shared" si="30"/>
        <v>4950.18</v>
      </c>
      <c r="AN16" s="38">
        <f t="shared" si="31"/>
        <v>5850</v>
      </c>
      <c r="AO16" s="38">
        <f t="shared" si="32"/>
        <v>6230.25</v>
      </c>
      <c r="AP16" s="38"/>
      <c r="AQ16" s="33">
        <f t="shared" si="33"/>
        <v>4823.46</v>
      </c>
      <c r="AR16" s="33">
        <f t="shared" si="74"/>
        <v>5436</v>
      </c>
      <c r="AS16" s="33">
        <f t="shared" si="34"/>
        <v>5015.82</v>
      </c>
      <c r="AT16" s="8">
        <f>ROUND((430.67*1.092*1.161+430.67*1.092*1.161*1.06*2+430.67*1.092*1.161*1.06*1.06*9)/12,2)</f>
        <v>602.08</v>
      </c>
      <c r="AU16" s="8">
        <f t="shared" si="35"/>
        <v>5617.9</v>
      </c>
      <c r="AW16">
        <f t="shared" si="36"/>
        <v>6251.4</v>
      </c>
      <c r="AX16">
        <v>613.69</v>
      </c>
      <c r="AY16">
        <f t="shared" si="37"/>
        <v>6865.09</v>
      </c>
      <c r="AZ16">
        <f t="shared" si="38"/>
        <v>6523.2</v>
      </c>
      <c r="BA16">
        <f t="shared" si="39"/>
        <v>7136.889999999999</v>
      </c>
      <c r="BB16">
        <f t="shared" si="40"/>
        <v>7066.8</v>
      </c>
      <c r="BC16">
        <f t="shared" si="41"/>
        <v>7680.49</v>
      </c>
      <c r="BD16">
        <f t="shared" si="42"/>
        <v>7610.4</v>
      </c>
      <c r="BE16">
        <f t="shared" si="43"/>
        <v>8224.09</v>
      </c>
      <c r="BF16">
        <f t="shared" si="44"/>
        <v>8154</v>
      </c>
      <c r="BG16">
        <f t="shared" si="45"/>
        <v>8767.69</v>
      </c>
      <c r="BH16">
        <f t="shared" si="46"/>
        <v>8697.6</v>
      </c>
      <c r="BI16">
        <f t="shared" si="47"/>
        <v>9311.29</v>
      </c>
      <c r="BJ16">
        <f t="shared" si="48"/>
        <v>9241.199999999999</v>
      </c>
      <c r="BK16">
        <f t="shared" si="49"/>
        <v>9854.89</v>
      </c>
      <c r="BL16">
        <f t="shared" si="50"/>
        <v>9784.800000000001</v>
      </c>
      <c r="BM16">
        <f t="shared" si="51"/>
        <v>10398.490000000002</v>
      </c>
      <c r="BN16">
        <f t="shared" si="52"/>
        <v>10872</v>
      </c>
      <c r="BO16">
        <f t="shared" si="53"/>
        <v>11485.69</v>
      </c>
      <c r="BP16" s="38">
        <f>BP13*AF16/AF13</f>
        <v>4680</v>
      </c>
      <c r="BQ16" s="33">
        <f t="shared" si="54"/>
        <v>900</v>
      </c>
      <c r="BR16" s="33">
        <f t="shared" si="55"/>
        <v>4356</v>
      </c>
      <c r="BS16" s="38">
        <f t="shared" si="56"/>
        <v>576</v>
      </c>
      <c r="BT16" s="33">
        <f>ROUND(BT13*BP16/BP13,2)</f>
        <v>5382</v>
      </c>
      <c r="BU16" s="33">
        <f t="shared" si="57"/>
        <v>702</v>
      </c>
      <c r="DE16" s="38">
        <f t="shared" si="58"/>
        <v>4950.18</v>
      </c>
      <c r="DF16" s="33">
        <f>DE16*DF6</f>
        <v>5850.000009037801</v>
      </c>
      <c r="DR16">
        <v>1638</v>
      </c>
      <c r="DS16">
        <v>1890</v>
      </c>
      <c r="DT16">
        <f t="shared" si="59"/>
        <v>4347</v>
      </c>
      <c r="DU16">
        <f>1638*1.15</f>
        <v>1883.6999999999998</v>
      </c>
      <c r="DV16">
        <f t="shared" si="60"/>
        <v>4536</v>
      </c>
      <c r="DW16">
        <f>1638*1.2</f>
        <v>1965.6</v>
      </c>
      <c r="DX16">
        <f t="shared" si="61"/>
        <v>4914</v>
      </c>
      <c r="DY16">
        <f>1638*1.3</f>
        <v>2129.4</v>
      </c>
      <c r="DZ16">
        <f t="shared" si="62"/>
        <v>5292</v>
      </c>
      <c r="EA16" s="52">
        <f>1638*1.4</f>
        <v>2293.2</v>
      </c>
      <c r="EB16">
        <f t="shared" si="63"/>
        <v>5670</v>
      </c>
      <c r="EC16">
        <f t="shared" si="64"/>
        <v>2457</v>
      </c>
      <c r="ED16">
        <f t="shared" si="65"/>
        <v>4914</v>
      </c>
      <c r="EE16">
        <f>1890*1.3</f>
        <v>2457</v>
      </c>
      <c r="EF16">
        <f t="shared" si="66"/>
        <v>5292</v>
      </c>
      <c r="EG16">
        <f>1890*1.4</f>
        <v>2646</v>
      </c>
      <c r="EH16">
        <f t="shared" si="67"/>
        <v>5670</v>
      </c>
      <c r="EI16">
        <f>1890*1.5</f>
        <v>2835</v>
      </c>
      <c r="EJ16">
        <f t="shared" si="68"/>
        <v>6048</v>
      </c>
      <c r="EK16">
        <f>1890*1.6</f>
        <v>3024</v>
      </c>
      <c r="EL16">
        <f t="shared" si="69"/>
        <v>6426</v>
      </c>
      <c r="EM16">
        <f>1890*1.7</f>
        <v>3213</v>
      </c>
      <c r="EN16">
        <f t="shared" si="70"/>
        <v>6804</v>
      </c>
      <c r="EO16">
        <f>1890*1.8</f>
        <v>3402</v>
      </c>
      <c r="EP16">
        <f t="shared" si="71"/>
        <v>7560</v>
      </c>
      <c r="EQ16">
        <f>1890*2</f>
        <v>3780</v>
      </c>
    </row>
    <row r="17" spans="1:146" ht="12.75">
      <c r="A17" s="32" t="s">
        <v>78</v>
      </c>
      <c r="B17" s="42"/>
      <c r="C17" s="42">
        <f t="shared" si="0"/>
        <v>0</v>
      </c>
      <c r="D17" s="42">
        <f t="shared" si="1"/>
        <v>0</v>
      </c>
      <c r="E17" s="42">
        <f t="shared" si="2"/>
        <v>0</v>
      </c>
      <c r="F17" s="42">
        <f t="shared" si="3"/>
        <v>0</v>
      </c>
      <c r="G17" s="42">
        <f t="shared" si="4"/>
        <v>0</v>
      </c>
      <c r="H17" s="42">
        <f t="shared" si="5"/>
        <v>0</v>
      </c>
      <c r="I17" s="42">
        <f t="shared" si="6"/>
        <v>0</v>
      </c>
      <c r="J17" s="42">
        <f t="shared" si="7"/>
        <v>0</v>
      </c>
      <c r="K17" s="42">
        <f t="shared" si="8"/>
        <v>0</v>
      </c>
      <c r="L17" s="42">
        <f t="shared" si="9"/>
        <v>0</v>
      </c>
      <c r="M17" s="44">
        <f t="shared" si="72"/>
        <v>0</v>
      </c>
      <c r="N17" s="44">
        <f t="shared" si="10"/>
        <v>0</v>
      </c>
      <c r="O17" s="33"/>
      <c r="P17" s="46">
        <f t="shared" si="11"/>
        <v>0</v>
      </c>
      <c r="Q17" s="51">
        <f t="shared" si="12"/>
        <v>0</v>
      </c>
      <c r="R17" s="46">
        <f t="shared" si="13"/>
        <v>0</v>
      </c>
      <c r="S17" s="46">
        <f t="shared" si="14"/>
        <v>0</v>
      </c>
      <c r="T17" s="33">
        <f t="shared" si="15"/>
        <v>0</v>
      </c>
      <c r="U17" s="33">
        <f t="shared" si="16"/>
        <v>0</v>
      </c>
      <c r="V17">
        <f t="shared" si="17"/>
        <v>0</v>
      </c>
      <c r="W17">
        <f t="shared" si="18"/>
        <v>0</v>
      </c>
      <c r="X17" s="38">
        <f t="shared" si="19"/>
        <v>0</v>
      </c>
      <c r="Y17" s="33">
        <f>ROUND(X17*'[1]старость_доплаты2008'!$C$2*'[1]старость_доплаты2008'!$D$2,0)</f>
        <v>0</v>
      </c>
      <c r="Z17" s="33">
        <f t="shared" si="20"/>
        <v>0</v>
      </c>
      <c r="AA17" s="38">
        <f t="shared" si="21"/>
        <v>0</v>
      </c>
      <c r="AB17" s="38">
        <f t="shared" si="22"/>
        <v>0</v>
      </c>
      <c r="AC17" s="35">
        <f t="shared" si="23"/>
        <v>0</v>
      </c>
      <c r="AD17" s="33">
        <f t="shared" si="24"/>
        <v>0</v>
      </c>
      <c r="AE17" s="33">
        <f t="shared" si="25"/>
        <v>0</v>
      </c>
      <c r="AF17" s="33"/>
      <c r="AG17" s="33">
        <f t="shared" si="26"/>
        <v>0</v>
      </c>
      <c r="AH17" s="33">
        <f t="shared" si="27"/>
        <v>0</v>
      </c>
      <c r="AI17" s="42">
        <f t="shared" si="28"/>
        <v>0</v>
      </c>
      <c r="AJ17" s="33">
        <f t="shared" si="29"/>
        <v>0</v>
      </c>
      <c r="AK17" s="38">
        <f t="shared" si="73"/>
        <v>0</v>
      </c>
      <c r="AL17" s="38"/>
      <c r="AM17" s="38">
        <f t="shared" si="30"/>
        <v>0</v>
      </c>
      <c r="AN17" s="38">
        <f t="shared" si="31"/>
        <v>0</v>
      </c>
      <c r="AO17" s="38">
        <f t="shared" si="32"/>
        <v>0</v>
      </c>
      <c r="AP17" s="38"/>
      <c r="AQ17" s="33">
        <f t="shared" si="33"/>
        <v>0</v>
      </c>
      <c r="AR17" s="33">
        <f t="shared" si="74"/>
        <v>0</v>
      </c>
      <c r="AS17" s="33">
        <f t="shared" si="34"/>
        <v>0</v>
      </c>
      <c r="AT17" s="8"/>
      <c r="AU17" s="8">
        <f t="shared" si="35"/>
        <v>0</v>
      </c>
      <c r="AW17">
        <f t="shared" si="36"/>
        <v>0</v>
      </c>
      <c r="AY17">
        <f t="shared" si="37"/>
        <v>0</v>
      </c>
      <c r="AZ17">
        <f t="shared" si="38"/>
        <v>0</v>
      </c>
      <c r="BA17">
        <f t="shared" si="39"/>
        <v>0</v>
      </c>
      <c r="BB17">
        <f t="shared" si="40"/>
        <v>0</v>
      </c>
      <c r="BC17">
        <f t="shared" si="41"/>
        <v>0</v>
      </c>
      <c r="BD17">
        <f t="shared" si="42"/>
        <v>0</v>
      </c>
      <c r="BE17">
        <f t="shared" si="43"/>
        <v>0</v>
      </c>
      <c r="BF17">
        <f t="shared" si="44"/>
        <v>0</v>
      </c>
      <c r="BG17">
        <f t="shared" si="45"/>
        <v>0</v>
      </c>
      <c r="BH17">
        <f t="shared" si="46"/>
        <v>0</v>
      </c>
      <c r="BI17">
        <f t="shared" si="47"/>
        <v>0</v>
      </c>
      <c r="BJ17">
        <f t="shared" si="48"/>
        <v>0</v>
      </c>
      <c r="BK17">
        <f t="shared" si="49"/>
        <v>0</v>
      </c>
      <c r="BL17">
        <f t="shared" si="50"/>
        <v>0</v>
      </c>
      <c r="BM17">
        <f t="shared" si="51"/>
        <v>0</v>
      </c>
      <c r="BN17">
        <f t="shared" si="52"/>
        <v>0</v>
      </c>
      <c r="BO17">
        <f t="shared" si="53"/>
        <v>0</v>
      </c>
      <c r="BP17" s="38"/>
      <c r="BQ17" s="33">
        <f t="shared" si="54"/>
        <v>0</v>
      </c>
      <c r="BR17" s="33">
        <f t="shared" si="55"/>
        <v>0</v>
      </c>
      <c r="BS17" s="38">
        <f t="shared" si="56"/>
        <v>0</v>
      </c>
      <c r="BT17" s="33"/>
      <c r="BU17" s="33">
        <f t="shared" si="57"/>
        <v>0</v>
      </c>
      <c r="DE17" s="38">
        <f t="shared" si="58"/>
        <v>0</v>
      </c>
      <c r="DF17" s="33"/>
      <c r="DT17">
        <f t="shared" si="59"/>
        <v>0</v>
      </c>
      <c r="DV17">
        <f t="shared" si="60"/>
        <v>0</v>
      </c>
      <c r="DX17">
        <f t="shared" si="61"/>
        <v>0</v>
      </c>
      <c r="DZ17">
        <f t="shared" si="62"/>
        <v>0</v>
      </c>
      <c r="EA17" s="52"/>
      <c r="EB17">
        <f t="shared" si="63"/>
        <v>0</v>
      </c>
      <c r="EC17">
        <f t="shared" si="64"/>
        <v>2457</v>
      </c>
      <c r="ED17">
        <f t="shared" si="65"/>
        <v>0</v>
      </c>
      <c r="EF17">
        <f t="shared" si="66"/>
        <v>0</v>
      </c>
      <c r="EH17">
        <f t="shared" si="67"/>
        <v>0</v>
      </c>
      <c r="EJ17">
        <f t="shared" si="68"/>
        <v>0</v>
      </c>
      <c r="EL17">
        <f t="shared" si="69"/>
        <v>0</v>
      </c>
      <c r="EN17">
        <f t="shared" si="70"/>
        <v>0</v>
      </c>
      <c r="EP17">
        <f t="shared" si="71"/>
        <v>0</v>
      </c>
    </row>
    <row r="18" spans="1:147" ht="12.75">
      <c r="A18" s="34" t="s">
        <v>73</v>
      </c>
      <c r="B18" s="42">
        <v>900</v>
      </c>
      <c r="C18" s="42">
        <f t="shared" si="0"/>
        <v>958.5</v>
      </c>
      <c r="D18" s="42">
        <f t="shared" si="1"/>
        <v>1044.77</v>
      </c>
      <c r="E18" s="42">
        <f t="shared" si="2"/>
        <v>62.690000000000055</v>
      </c>
      <c r="F18" s="42">
        <f t="shared" si="3"/>
        <v>1107.46</v>
      </c>
      <c r="G18" s="42">
        <f t="shared" si="4"/>
        <v>1196.06</v>
      </c>
      <c r="H18" s="42">
        <f t="shared" si="5"/>
        <v>151.28999999999996</v>
      </c>
      <c r="I18" s="42">
        <f t="shared" si="6"/>
        <v>1242.02</v>
      </c>
      <c r="J18" s="42">
        <f t="shared" si="7"/>
        <v>45.960000000000036</v>
      </c>
      <c r="K18" s="42">
        <f t="shared" si="8"/>
        <v>1320.02</v>
      </c>
      <c r="L18" s="42">
        <f t="shared" si="9"/>
        <v>123.96000000000004</v>
      </c>
      <c r="M18" s="44">
        <f t="shared" si="72"/>
        <v>1800.03</v>
      </c>
      <c r="N18" s="44">
        <f t="shared" si="10"/>
        <v>480.01</v>
      </c>
      <c r="O18" s="45">
        <v>1800</v>
      </c>
      <c r="P18" s="46">
        <f t="shared" si="11"/>
        <v>479.98</v>
      </c>
      <c r="Q18" s="47">
        <f t="shared" si="12"/>
        <v>2070</v>
      </c>
      <c r="R18" s="48">
        <f t="shared" si="13"/>
        <v>2484</v>
      </c>
      <c r="S18" s="48">
        <f t="shared" si="14"/>
        <v>3600</v>
      </c>
      <c r="T18" s="49">
        <f t="shared" si="15"/>
        <v>662</v>
      </c>
      <c r="U18" s="49">
        <f t="shared" si="16"/>
        <v>960</v>
      </c>
      <c r="V18">
        <f t="shared" si="17"/>
        <v>662</v>
      </c>
      <c r="W18">
        <f t="shared" si="18"/>
        <v>960</v>
      </c>
      <c r="X18" s="38">
        <f t="shared" si="19"/>
        <v>1908</v>
      </c>
      <c r="Y18" s="33">
        <f>ROUND(X18*'[1]старость_доплаты2008'!$C$2*'[1]старость_доплаты2008'!$D$2,0)</f>
        <v>2704</v>
      </c>
      <c r="Z18" s="33">
        <f t="shared" si="20"/>
        <v>2022.48</v>
      </c>
      <c r="AA18" s="38">
        <f t="shared" si="21"/>
        <v>2070.18</v>
      </c>
      <c r="AB18" s="38">
        <f t="shared" si="22"/>
        <v>114.48000000000002</v>
      </c>
      <c r="AC18" s="35">
        <f t="shared" si="23"/>
        <v>162.17999999999984</v>
      </c>
      <c r="AD18" s="33">
        <f t="shared" si="24"/>
        <v>2225.44</v>
      </c>
      <c r="AE18" s="33">
        <f t="shared" si="25"/>
        <v>155.26000000000022</v>
      </c>
      <c r="AF18" s="33">
        <f>AF13</f>
        <v>2520</v>
      </c>
      <c r="AG18" s="33">
        <f t="shared" si="26"/>
        <v>294.55999999999995</v>
      </c>
      <c r="AH18" s="33">
        <f t="shared" si="27"/>
        <v>449.82000000000016</v>
      </c>
      <c r="AI18" s="42">
        <f t="shared" si="28"/>
        <v>2696.4</v>
      </c>
      <c r="AJ18" s="33">
        <f t="shared" si="29"/>
        <v>2658.6</v>
      </c>
      <c r="AK18" s="38">
        <f t="shared" si="73"/>
        <v>3090</v>
      </c>
      <c r="AL18" s="38">
        <f>AL8*2</f>
        <v>3048</v>
      </c>
      <c r="AM18" s="38">
        <f t="shared" si="30"/>
        <v>3300.12</v>
      </c>
      <c r="AN18" s="38">
        <f t="shared" si="31"/>
        <v>3900</v>
      </c>
      <c r="AO18" s="51">
        <f t="shared" si="32"/>
        <v>4153.5</v>
      </c>
      <c r="AP18" s="38"/>
      <c r="AQ18" s="33">
        <f t="shared" si="33"/>
        <v>3215.64</v>
      </c>
      <c r="AR18" s="33">
        <f t="shared" si="74"/>
        <v>3624</v>
      </c>
      <c r="AS18" s="33">
        <f t="shared" si="34"/>
        <v>3343.88</v>
      </c>
      <c r="AT18" s="8">
        <f>ROUND((430.67*1.092*1.161+430.67*1.092*1.161*1.06*2+430.67*1.092*1.161*1.06*1.06*9)/12,2)</f>
        <v>602.08</v>
      </c>
      <c r="AU18" s="8">
        <f t="shared" si="35"/>
        <v>3945.96</v>
      </c>
      <c r="AW18">
        <f t="shared" si="36"/>
        <v>4167.599999999999</v>
      </c>
      <c r="AX18">
        <v>613.69</v>
      </c>
      <c r="AY18">
        <f t="shared" si="37"/>
        <v>4781.289999999999</v>
      </c>
      <c r="AZ18">
        <f t="shared" si="38"/>
        <v>4348.8</v>
      </c>
      <c r="BA18">
        <f t="shared" si="39"/>
        <v>4962.49</v>
      </c>
      <c r="BB18">
        <f t="shared" si="40"/>
        <v>4711.2</v>
      </c>
      <c r="BC18">
        <f t="shared" si="41"/>
        <v>5324.889999999999</v>
      </c>
      <c r="BD18">
        <f t="shared" si="42"/>
        <v>5073.599999999999</v>
      </c>
      <c r="BE18">
        <f t="shared" si="43"/>
        <v>5687.289999999999</v>
      </c>
      <c r="BF18">
        <f t="shared" si="44"/>
        <v>5436</v>
      </c>
      <c r="BG18">
        <f t="shared" si="45"/>
        <v>6049.6900000000005</v>
      </c>
      <c r="BH18">
        <f t="shared" si="46"/>
        <v>5798.400000000001</v>
      </c>
      <c r="BI18">
        <f t="shared" si="47"/>
        <v>6412.09</v>
      </c>
      <c r="BJ18">
        <f t="shared" si="48"/>
        <v>6160.8</v>
      </c>
      <c r="BK18">
        <f t="shared" si="49"/>
        <v>6774.49</v>
      </c>
      <c r="BL18">
        <f t="shared" si="50"/>
        <v>6523.2</v>
      </c>
      <c r="BM18">
        <f t="shared" si="51"/>
        <v>7136.889999999999</v>
      </c>
      <c r="BN18">
        <f t="shared" si="52"/>
        <v>7248</v>
      </c>
      <c r="BO18">
        <f t="shared" si="53"/>
        <v>7861.6900000000005</v>
      </c>
      <c r="BP18" s="38">
        <f>BP13</f>
        <v>3120</v>
      </c>
      <c r="BQ18" s="33">
        <f t="shared" si="54"/>
        <v>600</v>
      </c>
      <c r="BR18" s="33">
        <f t="shared" si="55"/>
        <v>2904</v>
      </c>
      <c r="BS18" s="38">
        <f t="shared" si="56"/>
        <v>384</v>
      </c>
      <c r="BT18" s="33">
        <f>BT13</f>
        <v>3588</v>
      </c>
      <c r="BU18" s="33">
        <f t="shared" si="57"/>
        <v>468</v>
      </c>
      <c r="DE18" s="38">
        <f t="shared" si="58"/>
        <v>3300.12</v>
      </c>
      <c r="DF18" s="33">
        <f>DF13</f>
        <v>3900</v>
      </c>
      <c r="DR18">
        <v>1638</v>
      </c>
      <c r="DS18">
        <v>1890</v>
      </c>
      <c r="DT18">
        <f t="shared" si="59"/>
        <v>2898</v>
      </c>
      <c r="DU18">
        <f>1638*1.15</f>
        <v>1883.6999999999998</v>
      </c>
      <c r="DV18">
        <f t="shared" si="60"/>
        <v>3024</v>
      </c>
      <c r="DW18">
        <f>1638*1.2</f>
        <v>1965.6</v>
      </c>
      <c r="DX18">
        <f t="shared" si="61"/>
        <v>3276</v>
      </c>
      <c r="DY18">
        <f>1638*1.3</f>
        <v>2129.4</v>
      </c>
      <c r="DZ18">
        <f t="shared" si="62"/>
        <v>3528</v>
      </c>
      <c r="EA18" s="52">
        <f>1638*1.4</f>
        <v>2293.2</v>
      </c>
      <c r="EB18">
        <f t="shared" si="63"/>
        <v>3780</v>
      </c>
      <c r="EC18">
        <f t="shared" si="64"/>
        <v>2457</v>
      </c>
      <c r="ED18">
        <f t="shared" si="65"/>
        <v>3276</v>
      </c>
      <c r="EE18">
        <f>1890*1.3</f>
        <v>2457</v>
      </c>
      <c r="EF18">
        <f t="shared" si="66"/>
        <v>3528</v>
      </c>
      <c r="EG18">
        <f>1890*1.4</f>
        <v>2646</v>
      </c>
      <c r="EH18">
        <f t="shared" si="67"/>
        <v>3780</v>
      </c>
      <c r="EI18">
        <f>1890*1.5</f>
        <v>2835</v>
      </c>
      <c r="EJ18">
        <f t="shared" si="68"/>
        <v>4032</v>
      </c>
      <c r="EK18">
        <f>1890*1.6</f>
        <v>3024</v>
      </c>
      <c r="EL18">
        <f t="shared" si="69"/>
        <v>4284</v>
      </c>
      <c r="EM18">
        <f>1890*1.7</f>
        <v>3213</v>
      </c>
      <c r="EN18">
        <f t="shared" si="70"/>
        <v>4536</v>
      </c>
      <c r="EO18">
        <f>1890*1.8</f>
        <v>3402</v>
      </c>
      <c r="EP18">
        <f t="shared" si="71"/>
        <v>5040</v>
      </c>
      <c r="EQ18">
        <f>1890*2</f>
        <v>3780</v>
      </c>
    </row>
    <row r="19" spans="1:147" ht="12.75">
      <c r="A19" s="34" t="s">
        <v>74</v>
      </c>
      <c r="B19" s="42">
        <v>1050</v>
      </c>
      <c r="C19" s="42">
        <f t="shared" si="0"/>
        <v>1118.25</v>
      </c>
      <c r="D19" s="42">
        <f t="shared" si="1"/>
        <v>1218.89</v>
      </c>
      <c r="E19" s="42">
        <f t="shared" si="2"/>
        <v>73.12999999999988</v>
      </c>
      <c r="F19" s="42">
        <f t="shared" si="3"/>
        <v>1292.02</v>
      </c>
      <c r="G19" s="42">
        <f t="shared" si="4"/>
        <v>1395.38</v>
      </c>
      <c r="H19" s="42">
        <f t="shared" si="5"/>
        <v>176.49</v>
      </c>
      <c r="I19" s="42">
        <f t="shared" si="6"/>
        <v>1449</v>
      </c>
      <c r="J19" s="42">
        <f t="shared" si="7"/>
        <v>53.61999999999989</v>
      </c>
      <c r="K19" s="42">
        <f t="shared" si="8"/>
        <v>1540</v>
      </c>
      <c r="L19" s="42">
        <f t="shared" si="9"/>
        <v>144.6199999999999</v>
      </c>
      <c r="M19" s="44">
        <f t="shared" si="72"/>
        <v>2100</v>
      </c>
      <c r="N19" s="44">
        <f t="shared" si="10"/>
        <v>560</v>
      </c>
      <c r="O19" s="33">
        <v>2100</v>
      </c>
      <c r="P19" s="46">
        <f t="shared" si="11"/>
        <v>560</v>
      </c>
      <c r="Q19" s="51">
        <f t="shared" si="12"/>
        <v>2415</v>
      </c>
      <c r="R19" s="46">
        <f t="shared" si="13"/>
        <v>2898</v>
      </c>
      <c r="S19" s="46">
        <f t="shared" si="14"/>
        <v>4200</v>
      </c>
      <c r="T19" s="33">
        <f t="shared" si="15"/>
        <v>773</v>
      </c>
      <c r="U19" s="33">
        <f t="shared" si="16"/>
        <v>1120</v>
      </c>
      <c r="V19">
        <f t="shared" si="17"/>
        <v>773</v>
      </c>
      <c r="W19">
        <f t="shared" si="18"/>
        <v>1120</v>
      </c>
      <c r="X19" s="38">
        <f t="shared" si="19"/>
        <v>2226</v>
      </c>
      <c r="Y19" s="33">
        <f>ROUND(X19*'[1]старость_доплаты2008'!$C$2*'[1]старость_доплаты2008'!$D$2,0)</f>
        <v>3154</v>
      </c>
      <c r="Z19" s="33">
        <f t="shared" si="20"/>
        <v>2359.56</v>
      </c>
      <c r="AA19" s="38">
        <f t="shared" si="21"/>
        <v>2415.21</v>
      </c>
      <c r="AB19" s="38">
        <f t="shared" si="22"/>
        <v>133.55999999999995</v>
      </c>
      <c r="AC19" s="35">
        <f t="shared" si="23"/>
        <v>189.21000000000004</v>
      </c>
      <c r="AD19" s="33">
        <f t="shared" si="24"/>
        <v>2596.35</v>
      </c>
      <c r="AE19" s="33">
        <f t="shared" si="25"/>
        <v>181.13999999999987</v>
      </c>
      <c r="AF19" s="33">
        <v>2940</v>
      </c>
      <c r="AG19" s="33">
        <f t="shared" si="26"/>
        <v>343.6500000000001</v>
      </c>
      <c r="AH19" s="33">
        <f t="shared" si="27"/>
        <v>524.79</v>
      </c>
      <c r="AI19" s="42">
        <f t="shared" si="28"/>
        <v>3145.8</v>
      </c>
      <c r="AJ19" s="33">
        <f t="shared" si="29"/>
        <v>3101.7</v>
      </c>
      <c r="AK19" s="38">
        <f t="shared" si="73"/>
        <v>3605</v>
      </c>
      <c r="AL19" s="38">
        <f>ROUND(AJ19*AL$8/AJ$8,2)</f>
        <v>3556</v>
      </c>
      <c r="AM19" s="38">
        <f t="shared" si="30"/>
        <v>3850.14</v>
      </c>
      <c r="AN19" s="38">
        <f t="shared" si="31"/>
        <v>4550</v>
      </c>
      <c r="AO19" s="38">
        <f t="shared" si="32"/>
        <v>4845.75</v>
      </c>
      <c r="AP19" s="38"/>
      <c r="AQ19" s="33">
        <f t="shared" si="33"/>
        <v>3751.58</v>
      </c>
      <c r="AR19" s="33">
        <f t="shared" si="74"/>
        <v>4228</v>
      </c>
      <c r="AS19" s="33">
        <f t="shared" si="34"/>
        <v>3901.19</v>
      </c>
      <c r="AT19" s="8">
        <f>ROUND((430.67*1.092*1.161+430.67*1.092*1.161*1.06*2+430.67*1.092*1.161*1.06*1.06*9)/12,2)</f>
        <v>602.08</v>
      </c>
      <c r="AU19" s="8">
        <f t="shared" si="35"/>
        <v>4503.27</v>
      </c>
      <c r="AW19">
        <f t="shared" si="36"/>
        <v>4862.2</v>
      </c>
      <c r="AX19">
        <v>613.69</v>
      </c>
      <c r="AY19">
        <f t="shared" si="37"/>
        <v>5475.889999999999</v>
      </c>
      <c r="AZ19">
        <f t="shared" si="38"/>
        <v>5073.599999999999</v>
      </c>
      <c r="BA19">
        <f t="shared" si="39"/>
        <v>5687.289999999999</v>
      </c>
      <c r="BB19">
        <f t="shared" si="40"/>
        <v>5496.400000000001</v>
      </c>
      <c r="BC19">
        <f t="shared" si="41"/>
        <v>6110.09</v>
      </c>
      <c r="BD19">
        <f t="shared" si="42"/>
        <v>5919.2</v>
      </c>
      <c r="BE19">
        <f t="shared" si="43"/>
        <v>6532.889999999999</v>
      </c>
      <c r="BF19">
        <f t="shared" si="44"/>
        <v>6342</v>
      </c>
      <c r="BG19">
        <f t="shared" si="45"/>
        <v>6955.6900000000005</v>
      </c>
      <c r="BH19">
        <f t="shared" si="46"/>
        <v>6764.8</v>
      </c>
      <c r="BI19">
        <f t="shared" si="47"/>
        <v>7378.49</v>
      </c>
      <c r="BJ19">
        <f t="shared" si="48"/>
        <v>7187.599999999999</v>
      </c>
      <c r="BK19">
        <f t="shared" si="49"/>
        <v>7801.289999999999</v>
      </c>
      <c r="BL19">
        <f t="shared" si="50"/>
        <v>7610.400000000001</v>
      </c>
      <c r="BM19">
        <f t="shared" si="51"/>
        <v>8224.09</v>
      </c>
      <c r="BN19">
        <f t="shared" si="52"/>
        <v>8456</v>
      </c>
      <c r="BO19">
        <f t="shared" si="53"/>
        <v>9069.69</v>
      </c>
      <c r="BP19" s="38">
        <f>BP14</f>
        <v>3640</v>
      </c>
      <c r="BQ19" s="33">
        <f t="shared" si="54"/>
        <v>700</v>
      </c>
      <c r="BR19" s="33">
        <f t="shared" si="55"/>
        <v>3388</v>
      </c>
      <c r="BS19" s="38">
        <f t="shared" si="56"/>
        <v>448</v>
      </c>
      <c r="BT19" s="33">
        <f>BT14</f>
        <v>4186</v>
      </c>
      <c r="BU19" s="33">
        <f t="shared" si="57"/>
        <v>546</v>
      </c>
      <c r="DE19" s="38">
        <f t="shared" si="58"/>
        <v>3850.14</v>
      </c>
      <c r="DF19" s="33">
        <f>DF14</f>
        <v>4550.0000070294</v>
      </c>
      <c r="DR19">
        <v>1638</v>
      </c>
      <c r="DS19">
        <v>1890</v>
      </c>
      <c r="DT19">
        <f t="shared" si="59"/>
        <v>3380.9999999999995</v>
      </c>
      <c r="DU19">
        <f>1638*1.15</f>
        <v>1883.6999999999998</v>
      </c>
      <c r="DV19">
        <f t="shared" si="60"/>
        <v>3528</v>
      </c>
      <c r="DW19">
        <f>1638*1.2</f>
        <v>1965.6</v>
      </c>
      <c r="DX19">
        <f t="shared" si="61"/>
        <v>3822</v>
      </c>
      <c r="DY19">
        <f>1638*1.3</f>
        <v>2129.4</v>
      </c>
      <c r="DZ19">
        <f t="shared" si="62"/>
        <v>4116</v>
      </c>
      <c r="EA19" s="52">
        <f>1638*1.4</f>
        <v>2293.2</v>
      </c>
      <c r="EB19">
        <f t="shared" si="63"/>
        <v>4410</v>
      </c>
      <c r="EC19">
        <f t="shared" si="64"/>
        <v>2457</v>
      </c>
      <c r="ED19">
        <f t="shared" si="65"/>
        <v>3822</v>
      </c>
      <c r="EE19">
        <f>1890*1.3</f>
        <v>2457</v>
      </c>
      <c r="EF19">
        <f t="shared" si="66"/>
        <v>4116</v>
      </c>
      <c r="EG19">
        <f>1890*1.4</f>
        <v>2646</v>
      </c>
      <c r="EH19">
        <f t="shared" si="67"/>
        <v>4410</v>
      </c>
      <c r="EI19">
        <f>1890*1.5</f>
        <v>2835</v>
      </c>
      <c r="EJ19">
        <f t="shared" si="68"/>
        <v>4704</v>
      </c>
      <c r="EK19">
        <f>1890*1.6</f>
        <v>3024</v>
      </c>
      <c r="EL19">
        <f t="shared" si="69"/>
        <v>4998</v>
      </c>
      <c r="EM19">
        <f>1890*1.7</f>
        <v>3213</v>
      </c>
      <c r="EN19">
        <f t="shared" si="70"/>
        <v>5292</v>
      </c>
      <c r="EO19">
        <f>1890*1.8</f>
        <v>3402</v>
      </c>
      <c r="EP19">
        <f t="shared" si="71"/>
        <v>5880</v>
      </c>
      <c r="EQ19">
        <f>1890*2</f>
        <v>3780</v>
      </c>
    </row>
    <row r="20" spans="1:147" ht="12.75">
      <c r="A20" s="34" t="s">
        <v>75</v>
      </c>
      <c r="B20" s="42">
        <v>1200</v>
      </c>
      <c r="C20" s="42">
        <f t="shared" si="0"/>
        <v>1278</v>
      </c>
      <c r="D20" s="42">
        <f t="shared" si="1"/>
        <v>1393.02</v>
      </c>
      <c r="E20" s="42">
        <f t="shared" si="2"/>
        <v>83.57999999999993</v>
      </c>
      <c r="F20" s="42">
        <f t="shared" si="3"/>
        <v>1476.6</v>
      </c>
      <c r="G20" s="42">
        <f t="shared" si="4"/>
        <v>1594.73</v>
      </c>
      <c r="H20" s="42">
        <f t="shared" si="5"/>
        <v>201.71000000000004</v>
      </c>
      <c r="I20" s="42">
        <f t="shared" si="6"/>
        <v>1656.01</v>
      </c>
      <c r="J20" s="42">
        <f t="shared" si="7"/>
        <v>61.27999999999997</v>
      </c>
      <c r="K20" s="42">
        <f t="shared" si="8"/>
        <v>1760.01</v>
      </c>
      <c r="L20" s="42">
        <f t="shared" si="9"/>
        <v>165.27999999999997</v>
      </c>
      <c r="M20" s="44">
        <f t="shared" si="72"/>
        <v>2400.01</v>
      </c>
      <c r="N20" s="44">
        <f t="shared" si="10"/>
        <v>640.0000000000002</v>
      </c>
      <c r="O20" s="33">
        <v>2400</v>
      </c>
      <c r="P20" s="46">
        <f t="shared" si="11"/>
        <v>639.99</v>
      </c>
      <c r="Q20" s="51">
        <f t="shared" si="12"/>
        <v>2760</v>
      </c>
      <c r="R20" s="46">
        <f t="shared" si="13"/>
        <v>3312</v>
      </c>
      <c r="S20" s="46">
        <f t="shared" si="14"/>
        <v>4800</v>
      </c>
      <c r="T20" s="33">
        <f t="shared" si="15"/>
        <v>883</v>
      </c>
      <c r="U20" s="33">
        <f t="shared" si="16"/>
        <v>1280</v>
      </c>
      <c r="V20">
        <f t="shared" si="17"/>
        <v>883</v>
      </c>
      <c r="W20">
        <f t="shared" si="18"/>
        <v>1280</v>
      </c>
      <c r="X20" s="38">
        <f t="shared" si="19"/>
        <v>2544</v>
      </c>
      <c r="Y20" s="33">
        <f>ROUND(X20*'[1]старость_доплаты2008'!$C$2*'[1]старость_доплаты2008'!$D$2,0)</f>
        <v>3605</v>
      </c>
      <c r="Z20" s="33">
        <f t="shared" si="20"/>
        <v>2696.6400000000003</v>
      </c>
      <c r="AA20" s="38">
        <f t="shared" si="21"/>
        <v>2760.24</v>
      </c>
      <c r="AB20" s="38">
        <f t="shared" si="22"/>
        <v>152.64000000000033</v>
      </c>
      <c r="AC20" s="35">
        <f t="shared" si="23"/>
        <v>216.23999999999978</v>
      </c>
      <c r="AD20" s="33">
        <f t="shared" si="24"/>
        <v>2967.26</v>
      </c>
      <c r="AE20" s="33">
        <f t="shared" si="25"/>
        <v>207.02000000000044</v>
      </c>
      <c r="AF20" s="33">
        <v>3360</v>
      </c>
      <c r="AG20" s="33">
        <f t="shared" si="26"/>
        <v>392.7399999999998</v>
      </c>
      <c r="AH20" s="33">
        <f t="shared" si="27"/>
        <v>599.7600000000002</v>
      </c>
      <c r="AI20" s="42">
        <f t="shared" si="28"/>
        <v>3595.2</v>
      </c>
      <c r="AJ20" s="33">
        <f t="shared" si="29"/>
        <v>3544.8</v>
      </c>
      <c r="AK20" s="38">
        <f t="shared" si="73"/>
        <v>4120</v>
      </c>
      <c r="AL20" s="38">
        <f>ROUND(AJ20*AL$8/AJ$8,2)</f>
        <v>4064</v>
      </c>
      <c r="AM20" s="38">
        <f t="shared" si="30"/>
        <v>4400.16</v>
      </c>
      <c r="AN20" s="38">
        <f t="shared" si="31"/>
        <v>5200</v>
      </c>
      <c r="AO20" s="51">
        <f t="shared" si="32"/>
        <v>5538</v>
      </c>
      <c r="AP20" s="38"/>
      <c r="AQ20" s="33">
        <f t="shared" si="33"/>
        <v>4287.52</v>
      </c>
      <c r="AR20" s="33">
        <f t="shared" si="74"/>
        <v>4832</v>
      </c>
      <c r="AS20" s="33">
        <f t="shared" si="34"/>
        <v>4458.51</v>
      </c>
      <c r="AT20" s="8">
        <f>ROUND((430.67*1.092*1.161+430.67*1.092*1.161*1.06*2+430.67*1.092*1.161*1.06*1.06*9)/12,2)</f>
        <v>602.08</v>
      </c>
      <c r="AU20" s="8">
        <f t="shared" si="35"/>
        <v>5060.59</v>
      </c>
      <c r="AW20">
        <f t="shared" si="36"/>
        <v>5556.799999999999</v>
      </c>
      <c r="AX20">
        <v>613.69</v>
      </c>
      <c r="AY20">
        <f t="shared" si="37"/>
        <v>6170.49</v>
      </c>
      <c r="AZ20">
        <f t="shared" si="38"/>
        <v>5798.4</v>
      </c>
      <c r="BA20">
        <f t="shared" si="39"/>
        <v>6412.09</v>
      </c>
      <c r="BB20">
        <f t="shared" si="40"/>
        <v>6281.6</v>
      </c>
      <c r="BC20">
        <f t="shared" si="41"/>
        <v>6895.290000000001</v>
      </c>
      <c r="BD20">
        <f t="shared" si="42"/>
        <v>6764.799999999999</v>
      </c>
      <c r="BE20">
        <f t="shared" si="43"/>
        <v>7378.49</v>
      </c>
      <c r="BF20">
        <f t="shared" si="44"/>
        <v>7248</v>
      </c>
      <c r="BG20">
        <f t="shared" si="45"/>
        <v>7861.6900000000005</v>
      </c>
      <c r="BH20">
        <f t="shared" si="46"/>
        <v>7731.200000000001</v>
      </c>
      <c r="BI20">
        <f t="shared" si="47"/>
        <v>8344.890000000001</v>
      </c>
      <c r="BJ20">
        <f t="shared" si="48"/>
        <v>8214.4</v>
      </c>
      <c r="BK20">
        <f t="shared" si="49"/>
        <v>8828.09</v>
      </c>
      <c r="BL20">
        <f t="shared" si="50"/>
        <v>8697.6</v>
      </c>
      <c r="BM20">
        <f t="shared" si="51"/>
        <v>9311.29</v>
      </c>
      <c r="BN20">
        <f t="shared" si="52"/>
        <v>9664</v>
      </c>
      <c r="BO20">
        <f t="shared" si="53"/>
        <v>10277.69</v>
      </c>
      <c r="BP20" s="38">
        <f>BP15</f>
        <v>4160</v>
      </c>
      <c r="BQ20" s="33">
        <f t="shared" si="54"/>
        <v>800</v>
      </c>
      <c r="BR20" s="33">
        <f t="shared" si="55"/>
        <v>3872</v>
      </c>
      <c r="BS20" s="38">
        <f t="shared" si="56"/>
        <v>512</v>
      </c>
      <c r="BT20" s="33">
        <f>BT15</f>
        <v>4784</v>
      </c>
      <c r="BU20" s="33">
        <f t="shared" si="57"/>
        <v>624</v>
      </c>
      <c r="DE20" s="38">
        <f t="shared" si="58"/>
        <v>4400.16</v>
      </c>
      <c r="DF20" s="33">
        <f>DF15</f>
        <v>5200.0000080336</v>
      </c>
      <c r="DR20">
        <v>1638</v>
      </c>
      <c r="DS20">
        <v>1890</v>
      </c>
      <c r="DT20">
        <f t="shared" si="59"/>
        <v>3863.9999999999995</v>
      </c>
      <c r="DU20">
        <f>1638*1.15</f>
        <v>1883.6999999999998</v>
      </c>
      <c r="DV20">
        <f t="shared" si="60"/>
        <v>4032</v>
      </c>
      <c r="DW20">
        <f>1638*1.2</f>
        <v>1965.6</v>
      </c>
      <c r="DX20">
        <f t="shared" si="61"/>
        <v>4368</v>
      </c>
      <c r="DY20">
        <f>1638*1.3</f>
        <v>2129.4</v>
      </c>
      <c r="DZ20">
        <f t="shared" si="62"/>
        <v>4704</v>
      </c>
      <c r="EA20" s="52">
        <f>1638*1.4</f>
        <v>2293.2</v>
      </c>
      <c r="EB20">
        <f t="shared" si="63"/>
        <v>5040</v>
      </c>
      <c r="EC20">
        <f t="shared" si="64"/>
        <v>2457</v>
      </c>
      <c r="ED20">
        <f t="shared" si="65"/>
        <v>4368</v>
      </c>
      <c r="EE20">
        <f>1890*1.3</f>
        <v>2457</v>
      </c>
      <c r="EF20">
        <f t="shared" si="66"/>
        <v>4704</v>
      </c>
      <c r="EG20">
        <f>1890*1.4</f>
        <v>2646</v>
      </c>
      <c r="EH20">
        <f t="shared" si="67"/>
        <v>5040</v>
      </c>
      <c r="EI20">
        <f>1890*1.5</f>
        <v>2835</v>
      </c>
      <c r="EJ20">
        <f t="shared" si="68"/>
        <v>5376</v>
      </c>
      <c r="EK20">
        <f>1890*1.6</f>
        <v>3024</v>
      </c>
      <c r="EL20">
        <f t="shared" si="69"/>
        <v>5712</v>
      </c>
      <c r="EM20">
        <f>1890*1.7</f>
        <v>3213</v>
      </c>
      <c r="EN20">
        <f t="shared" si="70"/>
        <v>6048</v>
      </c>
      <c r="EO20">
        <f>1890*1.8</f>
        <v>3402</v>
      </c>
      <c r="EP20">
        <f t="shared" si="71"/>
        <v>6720</v>
      </c>
      <c r="EQ20">
        <f>1890*2</f>
        <v>3780</v>
      </c>
    </row>
    <row r="21" spans="1:147" ht="12.75">
      <c r="A21" s="34" t="s">
        <v>76</v>
      </c>
      <c r="B21" s="42">
        <v>1350</v>
      </c>
      <c r="C21" s="42">
        <f t="shared" si="0"/>
        <v>1437.75</v>
      </c>
      <c r="D21" s="42">
        <f t="shared" si="1"/>
        <v>1567.15</v>
      </c>
      <c r="E21" s="42">
        <f t="shared" si="2"/>
        <v>94.02999999999997</v>
      </c>
      <c r="F21" s="42">
        <f t="shared" si="3"/>
        <v>1661.18</v>
      </c>
      <c r="G21" s="42">
        <f t="shared" si="4"/>
        <v>1794.07</v>
      </c>
      <c r="H21" s="42">
        <f t="shared" si="5"/>
        <v>226.91999999999985</v>
      </c>
      <c r="I21" s="42">
        <f t="shared" si="6"/>
        <v>1863.01</v>
      </c>
      <c r="J21" s="42">
        <f t="shared" si="7"/>
        <v>68.94000000000005</v>
      </c>
      <c r="K21" s="42">
        <f t="shared" si="8"/>
        <v>1980.01</v>
      </c>
      <c r="L21" s="42">
        <f t="shared" si="9"/>
        <v>185.94000000000005</v>
      </c>
      <c r="M21" s="44">
        <f t="shared" si="72"/>
        <v>2700.01</v>
      </c>
      <c r="N21" s="44">
        <f t="shared" si="10"/>
        <v>720.0000000000002</v>
      </c>
      <c r="O21" s="33">
        <v>2700</v>
      </c>
      <c r="P21" s="46">
        <f t="shared" si="11"/>
        <v>719.99</v>
      </c>
      <c r="Q21" s="51">
        <f t="shared" si="12"/>
        <v>3105</v>
      </c>
      <c r="R21" s="46">
        <f t="shared" si="13"/>
        <v>3726</v>
      </c>
      <c r="S21" s="46">
        <f t="shared" si="14"/>
        <v>5400</v>
      </c>
      <c r="T21" s="33">
        <f t="shared" si="15"/>
        <v>994</v>
      </c>
      <c r="U21" s="33">
        <f t="shared" si="16"/>
        <v>1440</v>
      </c>
      <c r="V21">
        <f t="shared" si="17"/>
        <v>994</v>
      </c>
      <c r="W21">
        <f t="shared" si="18"/>
        <v>1440</v>
      </c>
      <c r="X21" s="38">
        <f t="shared" si="19"/>
        <v>2862</v>
      </c>
      <c r="Y21" s="33">
        <f>ROUND(X21*'[1]старость_доплаты2008'!$C$2*'[1]старость_доплаты2008'!$D$2,0)</f>
        <v>4056</v>
      </c>
      <c r="Z21" s="33">
        <f t="shared" si="20"/>
        <v>3033.7200000000003</v>
      </c>
      <c r="AA21" s="38">
        <f t="shared" si="21"/>
        <v>3105.27</v>
      </c>
      <c r="AB21" s="38">
        <f t="shared" si="22"/>
        <v>171.72000000000025</v>
      </c>
      <c r="AC21" s="35">
        <f t="shared" si="23"/>
        <v>243.26999999999998</v>
      </c>
      <c r="AD21" s="33">
        <f t="shared" si="24"/>
        <v>3338.17</v>
      </c>
      <c r="AE21" s="33">
        <f t="shared" si="25"/>
        <v>232.9000000000001</v>
      </c>
      <c r="AF21" s="33">
        <v>3780</v>
      </c>
      <c r="AG21" s="33">
        <f t="shared" si="26"/>
        <v>441.8299999999999</v>
      </c>
      <c r="AH21" s="33">
        <f t="shared" si="27"/>
        <v>674.73</v>
      </c>
      <c r="AI21" s="42">
        <f t="shared" si="28"/>
        <v>4044.6</v>
      </c>
      <c r="AJ21" s="33">
        <f t="shared" si="29"/>
        <v>3987.9</v>
      </c>
      <c r="AK21" s="38">
        <f t="shared" si="73"/>
        <v>4635</v>
      </c>
      <c r="AL21" s="38">
        <f>ROUND(AJ21*AL$8/AJ$8,2)</f>
        <v>4572</v>
      </c>
      <c r="AM21" s="38">
        <f t="shared" si="30"/>
        <v>4950.18</v>
      </c>
      <c r="AN21" s="38">
        <f t="shared" si="31"/>
        <v>5850</v>
      </c>
      <c r="AO21" s="38">
        <f t="shared" si="32"/>
        <v>6230.25</v>
      </c>
      <c r="AP21" s="38"/>
      <c r="AQ21" s="33">
        <f t="shared" si="33"/>
        <v>4823.46</v>
      </c>
      <c r="AR21" s="33">
        <f t="shared" si="74"/>
        <v>5436</v>
      </c>
      <c r="AS21" s="33">
        <f t="shared" si="34"/>
        <v>5015.82</v>
      </c>
      <c r="AT21" s="8">
        <f>ROUND((430.67*1.092*1.161+430.67*1.092*1.161*1.06*2+430.67*1.092*1.161*1.06*1.06*9)/12,2)</f>
        <v>602.08</v>
      </c>
      <c r="AU21" s="8">
        <f t="shared" si="35"/>
        <v>5617.9</v>
      </c>
      <c r="AW21">
        <f t="shared" si="36"/>
        <v>6251.4</v>
      </c>
      <c r="AX21">
        <v>613.69</v>
      </c>
      <c r="AY21">
        <f t="shared" si="37"/>
        <v>6865.09</v>
      </c>
      <c r="AZ21">
        <f t="shared" si="38"/>
        <v>6523.2</v>
      </c>
      <c r="BA21">
        <f t="shared" si="39"/>
        <v>7136.889999999999</v>
      </c>
      <c r="BB21">
        <f t="shared" si="40"/>
        <v>7066.8</v>
      </c>
      <c r="BC21">
        <f t="shared" si="41"/>
        <v>7680.49</v>
      </c>
      <c r="BD21">
        <f t="shared" si="42"/>
        <v>7610.4</v>
      </c>
      <c r="BE21">
        <f t="shared" si="43"/>
        <v>8224.09</v>
      </c>
      <c r="BF21">
        <f t="shared" si="44"/>
        <v>8154</v>
      </c>
      <c r="BG21">
        <f t="shared" si="45"/>
        <v>8767.69</v>
      </c>
      <c r="BH21">
        <f t="shared" si="46"/>
        <v>8697.6</v>
      </c>
      <c r="BI21">
        <f t="shared" si="47"/>
        <v>9311.29</v>
      </c>
      <c r="BJ21">
        <f t="shared" si="48"/>
        <v>9241.199999999999</v>
      </c>
      <c r="BK21">
        <f t="shared" si="49"/>
        <v>9854.89</v>
      </c>
      <c r="BL21">
        <f t="shared" si="50"/>
        <v>9784.800000000001</v>
      </c>
      <c r="BM21">
        <f t="shared" si="51"/>
        <v>10398.490000000002</v>
      </c>
      <c r="BN21">
        <f t="shared" si="52"/>
        <v>10872</v>
      </c>
      <c r="BO21">
        <f t="shared" si="53"/>
        <v>11485.69</v>
      </c>
      <c r="BP21" s="38">
        <f>BP16</f>
        <v>4680</v>
      </c>
      <c r="BQ21" s="33">
        <f t="shared" si="54"/>
        <v>900</v>
      </c>
      <c r="BR21" s="33">
        <f t="shared" si="55"/>
        <v>4356</v>
      </c>
      <c r="BS21" s="38">
        <f t="shared" si="56"/>
        <v>576</v>
      </c>
      <c r="BT21" s="33">
        <f>BT16</f>
        <v>5382</v>
      </c>
      <c r="BU21" s="33">
        <f t="shared" si="57"/>
        <v>702</v>
      </c>
      <c r="DE21" s="38">
        <f t="shared" si="58"/>
        <v>4950.18</v>
      </c>
      <c r="DF21" s="33">
        <f>DF16</f>
        <v>5850.000009037801</v>
      </c>
      <c r="DR21">
        <v>1638</v>
      </c>
      <c r="DS21">
        <v>1890</v>
      </c>
      <c r="DT21">
        <f t="shared" si="59"/>
        <v>4347</v>
      </c>
      <c r="DU21">
        <f>1638*1.15</f>
        <v>1883.6999999999998</v>
      </c>
      <c r="DV21">
        <f t="shared" si="60"/>
        <v>4536</v>
      </c>
      <c r="DW21">
        <f>1638*1.2</f>
        <v>1965.6</v>
      </c>
      <c r="DX21">
        <f t="shared" si="61"/>
        <v>4914</v>
      </c>
      <c r="DY21">
        <f>1638*1.3</f>
        <v>2129.4</v>
      </c>
      <c r="DZ21">
        <f t="shared" si="62"/>
        <v>5292</v>
      </c>
      <c r="EA21" s="52">
        <f>1638*1.4</f>
        <v>2293.2</v>
      </c>
      <c r="EB21">
        <f t="shared" si="63"/>
        <v>5670</v>
      </c>
      <c r="EC21">
        <f t="shared" si="64"/>
        <v>2457</v>
      </c>
      <c r="ED21">
        <f t="shared" si="65"/>
        <v>4914</v>
      </c>
      <c r="EE21">
        <f>1890*1.3</f>
        <v>2457</v>
      </c>
      <c r="EF21">
        <f t="shared" si="66"/>
        <v>5292</v>
      </c>
      <c r="EG21">
        <f>1890*1.4</f>
        <v>2646</v>
      </c>
      <c r="EH21">
        <f t="shared" si="67"/>
        <v>5670</v>
      </c>
      <c r="EI21">
        <f>1890*1.5</f>
        <v>2835</v>
      </c>
      <c r="EJ21">
        <f t="shared" si="68"/>
        <v>6048</v>
      </c>
      <c r="EK21">
        <f>1890*1.6</f>
        <v>3024</v>
      </c>
      <c r="EL21">
        <f t="shared" si="69"/>
        <v>6426</v>
      </c>
      <c r="EM21">
        <f>1890*1.7</f>
        <v>3213</v>
      </c>
      <c r="EN21">
        <f t="shared" si="70"/>
        <v>6804</v>
      </c>
      <c r="EO21">
        <f>1890*1.8</f>
        <v>3402</v>
      </c>
      <c r="EP21">
        <f t="shared" si="71"/>
        <v>7560</v>
      </c>
      <c r="EQ21">
        <f>1890*2</f>
        <v>3780</v>
      </c>
    </row>
    <row r="22" spans="1:124" ht="12.7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5">
        <f t="shared" si="8"/>
        <v>0</v>
      </c>
      <c r="L22" s="54">
        <f t="shared" si="9"/>
        <v>0</v>
      </c>
      <c r="M22" s="55">
        <f t="shared" si="72"/>
        <v>0</v>
      </c>
      <c r="N22" s="55">
        <f t="shared" si="10"/>
        <v>0</v>
      </c>
      <c r="O22" s="53"/>
      <c r="P22" s="56">
        <f t="shared" si="11"/>
        <v>0</v>
      </c>
      <c r="Q22" s="57">
        <f t="shared" si="12"/>
        <v>0</v>
      </c>
      <c r="R22" s="7"/>
      <c r="S22" s="58">
        <f t="shared" si="14"/>
        <v>0</v>
      </c>
      <c r="T22" s="59">
        <f t="shared" si="15"/>
        <v>0</v>
      </c>
      <c r="U22" s="59">
        <f t="shared" si="16"/>
        <v>0</v>
      </c>
      <c r="V22">
        <f t="shared" si="17"/>
        <v>0</v>
      </c>
      <c r="X22" s="7">
        <f>ROUND(M22*X$6,2)</f>
        <v>0</v>
      </c>
      <c r="Y22" s="53">
        <f>ROUND(X22*'[1]старость_доплаты2008'!$C$2*'[1]старость_доплаты2008'!$D$2,0)</f>
        <v>0</v>
      </c>
      <c r="Z22" s="59">
        <f t="shared" si="20"/>
        <v>0</v>
      </c>
      <c r="AA22" s="60">
        <f t="shared" si="21"/>
        <v>0</v>
      </c>
      <c r="AB22" s="60">
        <f t="shared" si="22"/>
        <v>0</v>
      </c>
      <c r="AC22" s="7">
        <f t="shared" si="23"/>
        <v>0</v>
      </c>
      <c r="AD22" s="53">
        <f t="shared" si="24"/>
        <v>0</v>
      </c>
      <c r="AE22" s="53">
        <f t="shared" si="25"/>
        <v>0</v>
      </c>
      <c r="AF22" s="53"/>
      <c r="AG22" s="53"/>
      <c r="AH22" s="53"/>
      <c r="AI22" s="55"/>
      <c r="AJ22" s="59">
        <f t="shared" si="29"/>
        <v>0</v>
      </c>
      <c r="AK22" s="59">
        <f t="shared" si="73"/>
        <v>0</v>
      </c>
      <c r="AL22" s="60"/>
      <c r="AM22" s="59">
        <f t="shared" si="30"/>
        <v>0</v>
      </c>
      <c r="AN22" s="60">
        <f t="shared" si="31"/>
        <v>0</v>
      </c>
      <c r="AO22" s="59">
        <f t="shared" si="32"/>
        <v>0</v>
      </c>
      <c r="AP22" s="60"/>
      <c r="AQ22" s="59">
        <f t="shared" si="33"/>
        <v>0</v>
      </c>
      <c r="AR22" s="53">
        <f t="shared" si="74"/>
        <v>0</v>
      </c>
      <c r="AS22" s="59">
        <f t="shared" si="34"/>
        <v>0</v>
      </c>
      <c r="AT22" s="61"/>
      <c r="AU22">
        <f t="shared" si="35"/>
        <v>0</v>
      </c>
      <c r="AW22">
        <f t="shared" si="36"/>
        <v>0</v>
      </c>
      <c r="AY22">
        <f t="shared" si="37"/>
        <v>0</v>
      </c>
      <c r="AZ22">
        <f t="shared" si="38"/>
        <v>0</v>
      </c>
      <c r="BB22">
        <f t="shared" si="40"/>
        <v>0</v>
      </c>
      <c r="BD22">
        <f t="shared" si="42"/>
        <v>0</v>
      </c>
      <c r="BE22">
        <f t="shared" si="43"/>
        <v>0</v>
      </c>
      <c r="BF22">
        <f t="shared" si="44"/>
        <v>0</v>
      </c>
      <c r="BH22">
        <f t="shared" si="46"/>
        <v>0</v>
      </c>
      <c r="BJ22">
        <f t="shared" si="48"/>
        <v>0</v>
      </c>
      <c r="BL22">
        <f t="shared" si="50"/>
        <v>0</v>
      </c>
      <c r="BN22">
        <f t="shared" si="52"/>
        <v>0</v>
      </c>
      <c r="BP22" s="60">
        <f>BP17</f>
        <v>0</v>
      </c>
      <c r="BQ22" s="59">
        <f t="shared" si="54"/>
        <v>0</v>
      </c>
      <c r="BR22" s="59">
        <f t="shared" si="55"/>
        <v>0</v>
      </c>
      <c r="BS22" s="60">
        <f t="shared" si="56"/>
        <v>0</v>
      </c>
      <c r="BT22" s="59"/>
      <c r="BU22" s="59">
        <f t="shared" si="57"/>
        <v>0</v>
      </c>
      <c r="DE22" s="60">
        <f t="shared" si="58"/>
        <v>0</v>
      </c>
      <c r="DF22" s="59"/>
      <c r="DT22">
        <f t="shared" si="59"/>
        <v>0</v>
      </c>
    </row>
    <row r="23" spans="2:14" ht="12.75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4" ht="51" customHeight="1" hidden="1">
      <c r="A24" s="157" t="s">
        <v>79</v>
      </c>
      <c r="B24" s="157"/>
      <c r="C24" s="157"/>
      <c r="D24" s="157"/>
      <c r="E24" s="157"/>
      <c r="F24" s="157"/>
      <c r="G24" s="157"/>
      <c r="H24" s="157"/>
      <c r="I24" s="157"/>
      <c r="J24" s="157"/>
      <c r="K24" s="62"/>
      <c r="L24" s="62"/>
      <c r="M24" s="62"/>
      <c r="N24" s="62"/>
    </row>
    <row r="25" spans="1:14" ht="12.75" hidden="1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62"/>
      <c r="L25" s="62"/>
      <c r="M25" s="62"/>
      <c r="N25" s="62"/>
    </row>
    <row r="26" spans="1:14" ht="12.75" hidden="1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62"/>
      <c r="L26" s="62"/>
      <c r="M26" s="62"/>
      <c r="N26" s="62"/>
    </row>
    <row r="27" spans="1:14" ht="12.75" hidden="1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62"/>
      <c r="L27" s="62"/>
      <c r="M27" s="62"/>
      <c r="N27" s="62"/>
    </row>
    <row r="28" spans="1:14" ht="12.75" hidden="1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62"/>
      <c r="L28" s="62"/>
      <c r="M28" s="62"/>
      <c r="N28" s="62"/>
    </row>
    <row r="29" spans="1:10" ht="12.75" hidden="1">
      <c r="A29" s="158"/>
      <c r="B29" s="158"/>
      <c r="C29" s="158"/>
      <c r="D29" s="158"/>
      <c r="E29" s="158"/>
      <c r="F29" s="158"/>
      <c r="G29" s="158"/>
      <c r="H29" s="158"/>
      <c r="I29" s="158"/>
      <c r="J29" s="158"/>
    </row>
    <row r="30" spans="1:10" ht="12.75" hidden="1">
      <c r="A30" s="158"/>
      <c r="B30" s="158"/>
      <c r="C30" s="158"/>
      <c r="D30" s="158"/>
      <c r="E30" s="158"/>
      <c r="F30" s="158"/>
      <c r="G30" s="158"/>
      <c r="H30" s="158"/>
      <c r="I30" s="158"/>
      <c r="J30" s="158"/>
    </row>
    <row r="31" spans="1:10" ht="12.75" hidden="1">
      <c r="A31" s="158"/>
      <c r="B31" s="158"/>
      <c r="C31" s="158"/>
      <c r="D31" s="158"/>
      <c r="E31" s="158"/>
      <c r="F31" s="158"/>
      <c r="G31" s="158"/>
      <c r="H31" s="158"/>
      <c r="I31" s="158"/>
      <c r="J31" s="158"/>
    </row>
    <row r="32" spans="1:10" ht="12.75" hidden="1">
      <c r="A32" s="158"/>
      <c r="B32" s="158"/>
      <c r="C32" s="158"/>
      <c r="D32" s="158"/>
      <c r="E32" s="158"/>
      <c r="F32" s="158"/>
      <c r="G32" s="158"/>
      <c r="H32" s="158"/>
      <c r="I32" s="158"/>
      <c r="J32" s="158"/>
    </row>
    <row r="33" spans="1:10" ht="12.75" hidden="1">
      <c r="A33" s="158"/>
      <c r="B33" s="158"/>
      <c r="C33" s="158"/>
      <c r="D33" s="158"/>
      <c r="E33" s="158"/>
      <c r="F33" s="158"/>
      <c r="G33" s="158"/>
      <c r="H33" s="158"/>
      <c r="I33" s="158"/>
      <c r="J33" s="158"/>
    </row>
    <row r="34" spans="1:10" ht="12.75" hidden="1">
      <c r="A34" s="158"/>
      <c r="B34" s="158"/>
      <c r="C34" s="158"/>
      <c r="D34" s="158"/>
      <c r="E34" s="158"/>
      <c r="F34" s="158"/>
      <c r="G34" s="158"/>
      <c r="H34" s="158"/>
      <c r="I34" s="158"/>
      <c r="J34" s="158"/>
    </row>
  </sheetData>
  <mergeCells count="2">
    <mergeCell ref="A1:P1"/>
    <mergeCell ref="A24:J34"/>
  </mergeCells>
  <printOptions horizontalCentered="1"/>
  <pageMargins left="0.984251968503937" right="0.984251968503937" top="0.7874015748031497" bottom="0.5905511811023623" header="0.31496062992125984" footer="0.31496062992125984"/>
  <pageSetup horizontalDpi="600" verticalDpi="600" orientation="landscape" paperSize="9" r:id="rId3"/>
  <headerFooter alignWithMargins="0">
    <oddFooter>&amp;L&amp;8&amp;F&amp;R&amp;8&amp;D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54"/>
  <sheetViews>
    <sheetView showZeros="0" workbookViewId="0" topLeftCell="A17">
      <selection activeCell="BU5" sqref="BU5"/>
    </sheetView>
  </sheetViews>
  <sheetFormatPr defaultColWidth="9.00390625" defaultRowHeight="12.75"/>
  <cols>
    <col min="1" max="1" width="28.25390625" style="0" customWidth="1"/>
    <col min="2" max="10" width="10.125" style="0" hidden="1" customWidth="1"/>
    <col min="11" max="11" width="11.625" style="0" hidden="1" customWidth="1"/>
    <col min="12" max="12" width="10.125" style="0" hidden="1" customWidth="1"/>
    <col min="13" max="13" width="12.875" style="0" hidden="1" customWidth="1"/>
    <col min="14" max="32" width="10.125" style="0" hidden="1" customWidth="1"/>
    <col min="33" max="33" width="13.25390625" style="0" customWidth="1"/>
    <col min="34" max="34" width="13.75390625" style="0" hidden="1" customWidth="1"/>
    <col min="35" max="35" width="10.125" style="0" hidden="1" customWidth="1"/>
    <col min="36" max="36" width="10.625" style="0" hidden="1" customWidth="1"/>
    <col min="37" max="38" width="10.125" style="0" hidden="1" customWidth="1"/>
    <col min="39" max="39" width="12.625" style="0" hidden="1" customWidth="1"/>
    <col min="40" max="40" width="10.125" style="0" hidden="1" customWidth="1"/>
    <col min="41" max="41" width="12.75390625" style="0" hidden="1" customWidth="1"/>
    <col min="42" max="66" width="10.125" style="0" hidden="1" customWidth="1"/>
    <col min="67" max="67" width="10.125" style="0" customWidth="1"/>
    <col min="68" max="68" width="13.625" style="0" customWidth="1"/>
    <col min="69" max="72" width="10.125" style="0" hidden="1" customWidth="1"/>
    <col min="73" max="16384" width="10.125" style="0" customWidth="1"/>
  </cols>
  <sheetData>
    <row r="1" spans="1:20" s="1" customFormat="1" ht="15" hidden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ht="12.75">
      <c r="A2" s="2" t="s">
        <v>1</v>
      </c>
    </row>
    <row r="3" ht="12.75">
      <c r="A3" s="3" t="s">
        <v>80</v>
      </c>
    </row>
    <row r="4" spans="8:69" ht="12.75">
      <c r="H4" s="4"/>
      <c r="J4" s="4" t="s">
        <v>6</v>
      </c>
      <c r="M4" s="5"/>
      <c r="O4" s="5"/>
      <c r="P4" s="5"/>
      <c r="Q4" s="5"/>
      <c r="R4" s="6" t="s">
        <v>7</v>
      </c>
      <c r="S4" s="5"/>
      <c r="T4" t="s">
        <v>8</v>
      </c>
      <c r="Y4" s="5"/>
      <c r="Z4" s="5"/>
      <c r="AA4" s="7" t="s">
        <v>9</v>
      </c>
      <c r="AB4" s="8"/>
      <c r="AC4" t="s">
        <v>10</v>
      </c>
      <c r="AJ4" t="s">
        <v>11</v>
      </c>
      <c r="BQ4" t="s">
        <v>12</v>
      </c>
    </row>
    <row r="5" spans="1:72" s="11" customFormat="1" ht="41.25" customHeight="1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25</v>
      </c>
      <c r="M5" s="9" t="s">
        <v>27</v>
      </c>
      <c r="N5" s="9" t="s">
        <v>81</v>
      </c>
      <c r="O5" s="9" t="s">
        <v>82</v>
      </c>
      <c r="P5" s="10" t="s">
        <v>28</v>
      </c>
      <c r="Q5" s="10" t="s">
        <v>30</v>
      </c>
      <c r="R5" s="10" t="s">
        <v>31</v>
      </c>
      <c r="S5" s="10" t="s">
        <v>32</v>
      </c>
      <c r="T5" s="10" t="s">
        <v>31</v>
      </c>
      <c r="U5" s="10" t="s">
        <v>32</v>
      </c>
      <c r="W5" s="9" t="s">
        <v>33</v>
      </c>
      <c r="X5" s="9" t="s">
        <v>83</v>
      </c>
      <c r="Y5" s="12" t="s">
        <v>84</v>
      </c>
      <c r="Z5" s="63" t="s">
        <v>85</v>
      </c>
      <c r="AA5" s="9" t="s">
        <v>35</v>
      </c>
      <c r="AB5" s="9" t="s">
        <v>35</v>
      </c>
      <c r="AC5" s="9" t="s">
        <v>36</v>
      </c>
      <c r="AD5" s="9" t="s">
        <v>37</v>
      </c>
      <c r="AE5" s="9" t="s">
        <v>38</v>
      </c>
      <c r="AF5" s="9" t="s">
        <v>86</v>
      </c>
      <c r="AG5" s="9" t="s">
        <v>40</v>
      </c>
      <c r="AH5" s="9" t="s">
        <v>87</v>
      </c>
      <c r="AI5" s="9" t="s">
        <v>88</v>
      </c>
      <c r="AJ5" s="9" t="s">
        <v>43</v>
      </c>
      <c r="AK5" s="9" t="s">
        <v>43</v>
      </c>
      <c r="AL5" s="9" t="s">
        <v>44</v>
      </c>
      <c r="AM5" s="9" t="s">
        <v>44</v>
      </c>
      <c r="AN5" s="9" t="s">
        <v>45</v>
      </c>
      <c r="AO5" s="9" t="s">
        <v>48</v>
      </c>
      <c r="AP5" s="12" t="s">
        <v>49</v>
      </c>
      <c r="AQ5" s="64" t="s">
        <v>55</v>
      </c>
      <c r="AR5" s="11" t="s">
        <v>53</v>
      </c>
      <c r="AS5" s="14" t="s">
        <v>54</v>
      </c>
      <c r="AT5" s="14" t="s">
        <v>89</v>
      </c>
      <c r="AU5" s="11" t="s">
        <v>55</v>
      </c>
      <c r="AV5" s="11" t="s">
        <v>56</v>
      </c>
      <c r="AW5" s="11" t="s">
        <v>55</v>
      </c>
      <c r="AX5" s="11" t="s">
        <v>57</v>
      </c>
      <c r="AY5" s="11" t="s">
        <v>55</v>
      </c>
      <c r="AZ5" s="11" t="s">
        <v>58</v>
      </c>
      <c r="BA5" s="11" t="s">
        <v>55</v>
      </c>
      <c r="BB5" s="11" t="s">
        <v>59</v>
      </c>
      <c r="BC5" s="11" t="s">
        <v>55</v>
      </c>
      <c r="BD5" s="11" t="s">
        <v>60</v>
      </c>
      <c r="BE5" s="11" t="s">
        <v>55</v>
      </c>
      <c r="BF5" s="11" t="s">
        <v>61</v>
      </c>
      <c r="BG5" s="11" t="s">
        <v>55</v>
      </c>
      <c r="BH5" s="11" t="s">
        <v>62</v>
      </c>
      <c r="BI5" s="11" t="s">
        <v>55</v>
      </c>
      <c r="BJ5" s="11" t="s">
        <v>63</v>
      </c>
      <c r="BK5" s="11" t="s">
        <v>55</v>
      </c>
      <c r="BL5" s="9" t="s">
        <v>45</v>
      </c>
      <c r="BM5" s="9" t="s">
        <v>48</v>
      </c>
      <c r="BN5" s="65" t="s">
        <v>47</v>
      </c>
      <c r="BO5" s="9" t="s">
        <v>64</v>
      </c>
      <c r="BP5" s="12" t="s">
        <v>65</v>
      </c>
      <c r="BQ5" s="9" t="s">
        <v>66</v>
      </c>
      <c r="BR5" s="12" t="s">
        <v>67</v>
      </c>
      <c r="BS5" s="9" t="s">
        <v>68</v>
      </c>
      <c r="BT5" s="12" t="s">
        <v>69</v>
      </c>
    </row>
    <row r="6" spans="1:72" s="31" customFormat="1" ht="12.75">
      <c r="A6" s="15" t="s">
        <v>70</v>
      </c>
      <c r="B6" s="27"/>
      <c r="C6" s="21">
        <v>1.065</v>
      </c>
      <c r="D6" s="21">
        <v>1.09</v>
      </c>
      <c r="E6" s="18">
        <v>1.161</v>
      </c>
      <c r="F6" s="21">
        <v>1.06</v>
      </c>
      <c r="G6" s="17">
        <v>1.08</v>
      </c>
      <c r="H6" s="18">
        <v>1.145</v>
      </c>
      <c r="I6" s="19">
        <v>1.0384268</v>
      </c>
      <c r="J6" s="19">
        <f>I6</f>
        <v>1.0384268</v>
      </c>
      <c r="K6" s="66">
        <f>660/621</f>
        <v>1.0628019323671498</v>
      </c>
      <c r="L6" s="17">
        <f>ROUND(I6*K6,4)</f>
        <v>1.1036</v>
      </c>
      <c r="M6" s="22">
        <f>'[2]Труд_по старости'!M6</f>
        <v>1.36363636</v>
      </c>
      <c r="N6" s="21"/>
      <c r="O6" s="21">
        <v>1.36363636</v>
      </c>
      <c r="P6" s="67"/>
      <c r="Q6" s="67"/>
      <c r="R6" s="67"/>
      <c r="S6" s="67"/>
      <c r="T6" s="21"/>
      <c r="U6" s="67"/>
      <c r="V6" s="25"/>
      <c r="W6" s="26">
        <v>1.06</v>
      </c>
      <c r="X6" s="21"/>
      <c r="Y6" s="23"/>
      <c r="Z6" s="23"/>
      <c r="AA6" s="17">
        <v>1.06</v>
      </c>
      <c r="AB6" s="26">
        <v>1.085</v>
      </c>
      <c r="AC6" s="26"/>
      <c r="AD6" s="26"/>
      <c r="AE6" s="26">
        <v>1.075</v>
      </c>
      <c r="AF6" s="16"/>
      <c r="AG6" s="20">
        <f>AG8/AE8</f>
        <v>1.132360342224459</v>
      </c>
      <c r="AH6" s="27"/>
      <c r="AI6" s="16"/>
      <c r="AJ6" s="68">
        <v>1.07</v>
      </c>
      <c r="AK6" s="69">
        <v>1.055</v>
      </c>
      <c r="AL6" s="69">
        <f>1545/AJ13</f>
        <v>1.1459724076546507</v>
      </c>
      <c r="AM6" s="66">
        <f>'[2]Труд_по старости'!AL6</f>
        <v>1.1464680658993456</v>
      </c>
      <c r="AN6" s="17">
        <v>1.055</v>
      </c>
      <c r="AO6" s="66">
        <f>'[2]Труд_по старости'!AR6</f>
        <v>1.1269918274433706</v>
      </c>
      <c r="AP6" s="66">
        <f>'[2]Труд_по старости'!AS6</f>
        <v>1.0970734908136481</v>
      </c>
      <c r="AQ6" s="70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17">
        <v>1.068</v>
      </c>
      <c r="BM6" s="17">
        <f>ROUND(1950/'[2]Труд_по старости'!DE8,8)</f>
        <v>1.18177521</v>
      </c>
      <c r="BN6" s="17">
        <v>1.065</v>
      </c>
      <c r="BO6" s="26">
        <f>1560/1260</f>
        <v>1.2380952380952381</v>
      </c>
      <c r="BP6" s="27"/>
      <c r="BQ6" s="26">
        <f>1452/1260</f>
        <v>1.1523809523809523</v>
      </c>
      <c r="BR6" s="27"/>
      <c r="BS6" s="17">
        <v>1.15</v>
      </c>
      <c r="BT6" s="27"/>
    </row>
    <row r="7" spans="1:72" ht="12.75">
      <c r="A7" s="32" t="s">
        <v>78</v>
      </c>
      <c r="B7" s="34"/>
      <c r="C7" s="34"/>
      <c r="D7" s="34"/>
      <c r="E7" s="34"/>
      <c r="F7" s="34"/>
      <c r="G7" s="33"/>
      <c r="H7" s="33"/>
      <c r="I7" s="33"/>
      <c r="J7" s="33"/>
      <c r="K7" s="34"/>
      <c r="L7" s="34"/>
      <c r="M7" s="34"/>
      <c r="N7" s="34"/>
      <c r="O7" s="34"/>
      <c r="P7" s="35"/>
      <c r="Q7" s="35"/>
      <c r="R7" s="35"/>
      <c r="S7" s="35"/>
      <c r="T7" s="34"/>
      <c r="U7" s="35"/>
      <c r="W7" s="35"/>
      <c r="X7" s="34"/>
      <c r="Y7" s="72">
        <f>1400*1.06*'[1]старость_доплаты2008'!$C$4*'[1]старость_доплаты2008'!$D$4</f>
        <v>1745.4577683199998</v>
      </c>
      <c r="Z7" s="34"/>
      <c r="AA7" s="34"/>
      <c r="AB7" s="35"/>
      <c r="AC7" s="35"/>
      <c r="AD7" s="36"/>
      <c r="AE7" s="40"/>
      <c r="AF7" s="33"/>
      <c r="AG7" s="34"/>
      <c r="AH7" s="34"/>
      <c r="AI7" s="33"/>
      <c r="AJ7" s="33"/>
      <c r="AK7" s="37"/>
      <c r="AL7" s="36"/>
      <c r="AM7" s="36"/>
      <c r="AN7" s="36"/>
      <c r="AO7" s="36"/>
      <c r="AP7" s="35"/>
      <c r="AQ7" s="73"/>
      <c r="BL7" s="36"/>
      <c r="BM7" s="37"/>
      <c r="BN7" s="34"/>
      <c r="BO7" s="37"/>
      <c r="BP7" s="37"/>
      <c r="BQ7" s="74"/>
      <c r="BR7" s="37"/>
      <c r="BS7" s="40"/>
      <c r="BT7" s="41"/>
    </row>
    <row r="8" spans="1:72" ht="12.75">
      <c r="A8" s="34" t="s">
        <v>73</v>
      </c>
      <c r="B8" s="42">
        <v>900</v>
      </c>
      <c r="C8" s="42">
        <f aca="true" t="shared" si="0" ref="C8:C21">ROUND(B8*1.065,2)</f>
        <v>958.5</v>
      </c>
      <c r="D8" s="42">
        <f aca="true" t="shared" si="1" ref="D8:D21">ROUND(C8*1.09,2)</f>
        <v>1044.77</v>
      </c>
      <c r="E8" s="42">
        <f aca="true" t="shared" si="2" ref="E8:E21">F8-D8</f>
        <v>62.690000000000055</v>
      </c>
      <c r="F8" s="42">
        <f aca="true" t="shared" si="3" ref="F8:F21">ROUND(D8*1.06,2)</f>
        <v>1107.46</v>
      </c>
      <c r="G8" s="42">
        <f aca="true" t="shared" si="4" ref="G8:G21">ROUND(F8*1.08,2)</f>
        <v>1196.06</v>
      </c>
      <c r="H8" s="42">
        <f aca="true" t="shared" si="5" ref="H8:H21">G8-D8</f>
        <v>151.28999999999996</v>
      </c>
      <c r="I8" s="42">
        <f aca="true" t="shared" si="6" ref="I8:I21">ROUND(G8*I$6,2)</f>
        <v>1242.02</v>
      </c>
      <c r="J8" s="42">
        <f aca="true" t="shared" si="7" ref="J8:J21">I8-G8</f>
        <v>45.960000000000036</v>
      </c>
      <c r="K8" s="45">
        <f aca="true" t="shared" si="8" ref="K8:K22">ROUND(I8*1.06280193,2)</f>
        <v>1320.02</v>
      </c>
      <c r="L8" s="75">
        <f aca="true" t="shared" si="9" ref="L8:L22">K8-G8</f>
        <v>123.96000000000004</v>
      </c>
      <c r="M8" s="45">
        <f aca="true" t="shared" si="10" ref="M8:M22">ROUND(K8*M$6,2)</f>
        <v>1800.03</v>
      </c>
      <c r="N8" s="49">
        <f aca="true" t="shared" si="11" ref="N8:N22">M8-K8</f>
        <v>480.01</v>
      </c>
      <c r="O8" s="45">
        <v>1800</v>
      </c>
      <c r="P8" s="48">
        <f aca="true" t="shared" si="12" ref="P8:P22">O8-K8</f>
        <v>479.98</v>
      </c>
      <c r="Q8" s="47">
        <f aca="true" t="shared" si="13" ref="Q8:Q21">ROUND(O8*1.15,2)</f>
        <v>2070</v>
      </c>
      <c r="R8" s="48">
        <f aca="true" t="shared" si="14" ref="R8:R21">ROUND(O8*1.38,2)</f>
        <v>2484</v>
      </c>
      <c r="S8" s="48">
        <f aca="true" t="shared" si="15" ref="S8:S21">ROUND(O8*2,2)</f>
        <v>3600</v>
      </c>
      <c r="T8" s="49">
        <f aca="true" t="shared" si="16" ref="T8:T22">ROUND(P8*1.38,0)</f>
        <v>662</v>
      </c>
      <c r="U8" s="76">
        <f aca="true" t="shared" si="17" ref="U8:U22">ROUND(P8*2,0)</f>
        <v>960</v>
      </c>
      <c r="V8">
        <f aca="true" t="shared" si="18" ref="V8:V22">ROUND((O8*1.38-K8*1.38),0)</f>
        <v>662</v>
      </c>
      <c r="W8" s="38">
        <f aca="true" t="shared" si="19" ref="W8:W22">ROUND(O8*W$6,2)</f>
        <v>1908</v>
      </c>
      <c r="X8" s="33">
        <f>ROUND(W8*'[1]старость_доплаты2008'!$C$2*'[1]старость_доплаты2008'!$D$2,0)</f>
        <v>2704</v>
      </c>
      <c r="Y8" s="33"/>
      <c r="Z8" s="33">
        <f>X8+1745</f>
        <v>4449</v>
      </c>
      <c r="AA8" s="44">
        <f aca="true" t="shared" si="20" ref="AA8:AA24">W8*1.06</f>
        <v>2022.48</v>
      </c>
      <c r="AB8" s="51">
        <f aca="true" t="shared" si="21" ref="AB8:AB24">W8*1.085</f>
        <v>2070.18</v>
      </c>
      <c r="AC8" s="51">
        <f aca="true" t="shared" si="22" ref="AC8:AC24">AA8-W8</f>
        <v>114.48000000000002</v>
      </c>
      <c r="AD8" s="51">
        <f aca="true" t="shared" si="23" ref="AD8:AD24">AB8-W8</f>
        <v>162.17999999999984</v>
      </c>
      <c r="AE8" s="33">
        <f aca="true" t="shared" si="24" ref="AE8:AE25">ROUND(AB8*1.075,2)</f>
        <v>2225.44</v>
      </c>
      <c r="AF8" s="42">
        <f aca="true" t="shared" si="25" ref="AF8:AF25">AE8-AB8</f>
        <v>155.26000000000022</v>
      </c>
      <c r="AG8" s="33">
        <v>2520</v>
      </c>
      <c r="AH8" s="33">
        <f aca="true" t="shared" si="26" ref="AH8:AH25">AG8-AE8</f>
        <v>294.55999999999995</v>
      </c>
      <c r="AI8" s="42">
        <f aca="true" t="shared" si="27" ref="AI8:AI25">AG8-AB8</f>
        <v>449.82000000000016</v>
      </c>
      <c r="AJ8" s="42">
        <f aca="true" t="shared" si="28" ref="AJ8:AJ21">ROUND(AG8*1.07,2)</f>
        <v>2696.4</v>
      </c>
      <c r="AK8" s="33">
        <v>2658.6</v>
      </c>
      <c r="AL8" s="38">
        <f aca="true" t="shared" si="29" ref="AL8:AL21">ROUND(AJ8*AL$6,2)</f>
        <v>3090</v>
      </c>
      <c r="AM8" s="38">
        <v>3048</v>
      </c>
      <c r="AN8" s="38">
        <v>3215.64</v>
      </c>
      <c r="AO8" s="38">
        <v>3624</v>
      </c>
      <c r="AP8" s="38">
        <v>3343.88</v>
      </c>
      <c r="AQ8" s="39">
        <f aca="true" t="shared" si="30" ref="AQ8:AQ22">AO8+AS8+AT8</f>
        <v>6164.22</v>
      </c>
      <c r="AR8">
        <f aca="true" t="shared" si="31" ref="AR8:AR25">AO8*1.15</f>
        <v>4167.599999999999</v>
      </c>
      <c r="AS8">
        <v>613.69</v>
      </c>
      <c r="AT8" s="77">
        <v>1926.53</v>
      </c>
      <c r="AU8">
        <f aca="true" t="shared" si="32" ref="AU8:AU21">AR8+AS8+AT8</f>
        <v>6707.819999999999</v>
      </c>
      <c r="AV8">
        <f aca="true" t="shared" si="33" ref="AV8:AV21">AO8*1.2</f>
        <v>4348.8</v>
      </c>
      <c r="AW8">
        <f aca="true" t="shared" si="34" ref="AW8:AW21">AV8+AS8+AT8</f>
        <v>6889.0199999999995</v>
      </c>
      <c r="AX8">
        <f aca="true" t="shared" si="35" ref="AX8:AX21">AO8*1.3</f>
        <v>4711.2</v>
      </c>
      <c r="AY8">
        <f aca="true" t="shared" si="36" ref="AY8:AY21">AX8+AS8</f>
        <v>5324.889999999999</v>
      </c>
      <c r="AZ8">
        <f aca="true" t="shared" si="37" ref="AZ8:AZ21">AO8*1.4</f>
        <v>5073.599999999999</v>
      </c>
      <c r="BA8">
        <f aca="true" t="shared" si="38" ref="BA8:BA21">AZ8+AS8</f>
        <v>5687.289999999999</v>
      </c>
      <c r="BB8">
        <f aca="true" t="shared" si="39" ref="BB8:BB21">AO8*1.5</f>
        <v>5436</v>
      </c>
      <c r="BC8">
        <f aca="true" t="shared" si="40" ref="BC8:BC21">BB8+AS8</f>
        <v>6049.6900000000005</v>
      </c>
      <c r="BD8">
        <f aca="true" t="shared" si="41" ref="BD8:BD21">1.6*AO8</f>
        <v>5798.400000000001</v>
      </c>
      <c r="BE8">
        <f aca="true" t="shared" si="42" ref="BE8:BE21">BD8+AS8</f>
        <v>6412.09</v>
      </c>
      <c r="BF8">
        <f aca="true" t="shared" si="43" ref="BF8:BF21">AO8*1.7</f>
        <v>6160.8</v>
      </c>
      <c r="BG8">
        <f aca="true" t="shared" si="44" ref="BG8:BG21">BF8+AS8</f>
        <v>6774.49</v>
      </c>
      <c r="BH8">
        <f aca="true" t="shared" si="45" ref="BH8:BH21">AO8*1.8</f>
        <v>6523.2</v>
      </c>
      <c r="BI8">
        <f aca="true" t="shared" si="46" ref="BI8:BI21">BH8+AS8</f>
        <v>7136.889999999999</v>
      </c>
      <c r="BJ8">
        <f aca="true" t="shared" si="47" ref="BJ8:BJ21">AO8*2</f>
        <v>7248</v>
      </c>
      <c r="BK8">
        <v>613.69</v>
      </c>
      <c r="BL8" s="38">
        <f aca="true" t="shared" si="48" ref="BL8:BL22">ROUND(AL8*1.068,2)</f>
        <v>3300.12</v>
      </c>
      <c r="BM8" s="33">
        <f aca="true" t="shared" si="49" ref="BM8:BM22">ROUND(BL8*BM$6,2)</f>
        <v>3900</v>
      </c>
      <c r="BN8" s="42">
        <f aca="true" t="shared" si="50" ref="BN8:BN25">ROUND(BM8*1.065,2)</f>
        <v>4153.5</v>
      </c>
      <c r="BO8" s="33">
        <f>'[2]Труд_по старости'!BP13</f>
        <v>3120</v>
      </c>
      <c r="BP8" s="33">
        <f aca="true" t="shared" si="51" ref="BP8:BP22">BO8-AG8</f>
        <v>600</v>
      </c>
      <c r="BQ8" s="78">
        <f aca="true" t="shared" si="52" ref="BQ8:BQ22">ROUND(AG8*BQ$6,0)</f>
        <v>2904</v>
      </c>
      <c r="BR8" s="33">
        <f aca="true" t="shared" si="53" ref="BR8:BR22">BQ8-AG8</f>
        <v>384</v>
      </c>
      <c r="BS8" s="33">
        <f>'[2]Труд_по старости'!BT13</f>
        <v>3588</v>
      </c>
      <c r="BT8" s="38">
        <f aca="true" t="shared" si="54" ref="BT8:BT22">BS8-BO8</f>
        <v>468</v>
      </c>
    </row>
    <row r="9" spans="1:72" ht="12.75">
      <c r="A9" s="34" t="s">
        <v>74</v>
      </c>
      <c r="B9" s="42">
        <v>1050</v>
      </c>
      <c r="C9" s="42">
        <f t="shared" si="0"/>
        <v>1118.25</v>
      </c>
      <c r="D9" s="42">
        <f t="shared" si="1"/>
        <v>1218.89</v>
      </c>
      <c r="E9" s="42">
        <f t="shared" si="2"/>
        <v>73.12999999999988</v>
      </c>
      <c r="F9" s="42">
        <f t="shared" si="3"/>
        <v>1292.02</v>
      </c>
      <c r="G9" s="42">
        <f t="shared" si="4"/>
        <v>1395.38</v>
      </c>
      <c r="H9" s="42">
        <f t="shared" si="5"/>
        <v>176.49</v>
      </c>
      <c r="I9" s="42">
        <f t="shared" si="6"/>
        <v>1449</v>
      </c>
      <c r="J9" s="42">
        <f t="shared" si="7"/>
        <v>53.61999999999989</v>
      </c>
      <c r="K9" s="42">
        <f t="shared" si="8"/>
        <v>1540</v>
      </c>
      <c r="L9" s="42">
        <f t="shared" si="9"/>
        <v>144.6199999999999</v>
      </c>
      <c r="M9" s="33">
        <f t="shared" si="10"/>
        <v>2100</v>
      </c>
      <c r="N9" s="33">
        <f t="shared" si="11"/>
        <v>560</v>
      </c>
      <c r="O9" s="33">
        <v>2100</v>
      </c>
      <c r="P9" s="79">
        <f t="shared" si="12"/>
        <v>560</v>
      </c>
      <c r="Q9" s="80">
        <f t="shared" si="13"/>
        <v>2415</v>
      </c>
      <c r="R9" s="79">
        <f t="shared" si="14"/>
        <v>2898</v>
      </c>
      <c r="S9" s="79">
        <f t="shared" si="15"/>
        <v>4200</v>
      </c>
      <c r="T9" s="33">
        <f t="shared" si="16"/>
        <v>773</v>
      </c>
      <c r="U9" s="38">
        <f t="shared" si="17"/>
        <v>1120</v>
      </c>
      <c r="V9">
        <f t="shared" si="18"/>
        <v>773</v>
      </c>
      <c r="W9" s="38">
        <f t="shared" si="19"/>
        <v>2226</v>
      </c>
      <c r="X9" s="33">
        <f>ROUND(W9*'[1]старость_доплаты2008'!$C$2*'[1]старость_доплаты2008'!$D$2,0)</f>
        <v>3154</v>
      </c>
      <c r="Y9" s="33"/>
      <c r="Z9" s="33">
        <f>X9+1745</f>
        <v>4899</v>
      </c>
      <c r="AA9" s="44">
        <f t="shared" si="20"/>
        <v>2359.56</v>
      </c>
      <c r="AB9" s="51">
        <f t="shared" si="21"/>
        <v>2415.21</v>
      </c>
      <c r="AC9" s="51">
        <f t="shared" si="22"/>
        <v>133.55999999999995</v>
      </c>
      <c r="AD9" s="51">
        <f t="shared" si="23"/>
        <v>189.21000000000004</v>
      </c>
      <c r="AE9" s="33">
        <f t="shared" si="24"/>
        <v>2596.35</v>
      </c>
      <c r="AF9" s="42">
        <f t="shared" si="25"/>
        <v>181.13999999999987</v>
      </c>
      <c r="AG9" s="33">
        <v>2940</v>
      </c>
      <c r="AH9" s="33">
        <f t="shared" si="26"/>
        <v>343.6500000000001</v>
      </c>
      <c r="AI9" s="42">
        <f t="shared" si="27"/>
        <v>524.79</v>
      </c>
      <c r="AJ9" s="42">
        <f t="shared" si="28"/>
        <v>3145.8</v>
      </c>
      <c r="AK9" s="33">
        <v>3101.7</v>
      </c>
      <c r="AL9" s="38">
        <f t="shared" si="29"/>
        <v>3605</v>
      </c>
      <c r="AM9" s="38">
        <v>3556</v>
      </c>
      <c r="AN9" s="38">
        <v>3751.58</v>
      </c>
      <c r="AO9" s="38">
        <v>4228</v>
      </c>
      <c r="AP9" s="38">
        <v>3901.19</v>
      </c>
      <c r="AQ9" s="39">
        <f t="shared" si="30"/>
        <v>6768.22</v>
      </c>
      <c r="AR9">
        <f t="shared" si="31"/>
        <v>4862.2</v>
      </c>
      <c r="AS9">
        <v>613.69</v>
      </c>
      <c r="AT9" s="77">
        <v>1926.53</v>
      </c>
      <c r="AU9">
        <f t="shared" si="32"/>
        <v>7402.419999999999</v>
      </c>
      <c r="AV9">
        <f t="shared" si="33"/>
        <v>5073.599999999999</v>
      </c>
      <c r="AW9">
        <f t="shared" si="34"/>
        <v>7613.819999999999</v>
      </c>
      <c r="AX9">
        <f t="shared" si="35"/>
        <v>5496.400000000001</v>
      </c>
      <c r="AY9">
        <f t="shared" si="36"/>
        <v>6110.09</v>
      </c>
      <c r="AZ9">
        <f t="shared" si="37"/>
        <v>5919.2</v>
      </c>
      <c r="BA9">
        <f t="shared" si="38"/>
        <v>6532.889999999999</v>
      </c>
      <c r="BB9">
        <f t="shared" si="39"/>
        <v>6342</v>
      </c>
      <c r="BC9">
        <f t="shared" si="40"/>
        <v>6955.6900000000005</v>
      </c>
      <c r="BD9">
        <f t="shared" si="41"/>
        <v>6764.8</v>
      </c>
      <c r="BE9">
        <f t="shared" si="42"/>
        <v>7378.49</v>
      </c>
      <c r="BF9">
        <f t="shared" si="43"/>
        <v>7187.599999999999</v>
      </c>
      <c r="BG9">
        <f t="shared" si="44"/>
        <v>7801.289999999999</v>
      </c>
      <c r="BH9">
        <f t="shared" si="45"/>
        <v>7610.400000000001</v>
      </c>
      <c r="BI9">
        <f t="shared" si="46"/>
        <v>8224.09</v>
      </c>
      <c r="BJ9">
        <f t="shared" si="47"/>
        <v>8456</v>
      </c>
      <c r="BK9">
        <v>613.69</v>
      </c>
      <c r="BL9" s="38">
        <f t="shared" si="48"/>
        <v>3850.14</v>
      </c>
      <c r="BM9" s="33">
        <f t="shared" si="49"/>
        <v>4550</v>
      </c>
      <c r="BN9" s="42">
        <f t="shared" si="50"/>
        <v>4845.75</v>
      </c>
      <c r="BO9" s="33">
        <f>'[2]Труд_по старости'!BP14</f>
        <v>3640</v>
      </c>
      <c r="BP9" s="33">
        <f t="shared" si="51"/>
        <v>700</v>
      </c>
      <c r="BQ9" s="78">
        <f t="shared" si="52"/>
        <v>3388</v>
      </c>
      <c r="BR9" s="33">
        <f t="shared" si="53"/>
        <v>448</v>
      </c>
      <c r="BS9" s="33">
        <f>'[2]Труд_по старости'!BT14</f>
        <v>4186</v>
      </c>
      <c r="BT9" s="38">
        <f t="shared" si="54"/>
        <v>546</v>
      </c>
    </row>
    <row r="10" spans="1:72" ht="12.75">
      <c r="A10" s="34" t="s">
        <v>75</v>
      </c>
      <c r="B10" s="42">
        <v>1200</v>
      </c>
      <c r="C10" s="42">
        <f t="shared" si="0"/>
        <v>1278</v>
      </c>
      <c r="D10" s="42">
        <f t="shared" si="1"/>
        <v>1393.02</v>
      </c>
      <c r="E10" s="42">
        <f t="shared" si="2"/>
        <v>83.57999999999993</v>
      </c>
      <c r="F10" s="42">
        <f t="shared" si="3"/>
        <v>1476.6</v>
      </c>
      <c r="G10" s="42">
        <f t="shared" si="4"/>
        <v>1594.73</v>
      </c>
      <c r="H10" s="42">
        <f t="shared" si="5"/>
        <v>201.71000000000004</v>
      </c>
      <c r="I10" s="42">
        <f t="shared" si="6"/>
        <v>1656.01</v>
      </c>
      <c r="J10" s="42">
        <f t="shared" si="7"/>
        <v>61.27999999999997</v>
      </c>
      <c r="K10" s="33">
        <f t="shared" si="8"/>
        <v>1760.01</v>
      </c>
      <c r="L10" s="42">
        <f t="shared" si="9"/>
        <v>165.27999999999997</v>
      </c>
      <c r="M10" s="33">
        <f t="shared" si="10"/>
        <v>2400.01</v>
      </c>
      <c r="N10" s="33">
        <f t="shared" si="11"/>
        <v>640.0000000000002</v>
      </c>
      <c r="O10" s="33">
        <v>2400</v>
      </c>
      <c r="P10" s="79">
        <f t="shared" si="12"/>
        <v>639.99</v>
      </c>
      <c r="Q10" s="80">
        <f t="shared" si="13"/>
        <v>2760</v>
      </c>
      <c r="R10" s="79">
        <f t="shared" si="14"/>
        <v>3312</v>
      </c>
      <c r="S10" s="79">
        <f t="shared" si="15"/>
        <v>4800</v>
      </c>
      <c r="T10" s="33">
        <f t="shared" si="16"/>
        <v>883</v>
      </c>
      <c r="U10" s="38">
        <f t="shared" si="17"/>
        <v>1280</v>
      </c>
      <c r="V10">
        <f t="shared" si="18"/>
        <v>883</v>
      </c>
      <c r="W10" s="38">
        <f t="shared" si="19"/>
        <v>2544</v>
      </c>
      <c r="X10" s="33">
        <f>ROUND(W10*'[1]старость_доплаты2008'!$C$2*'[1]старость_доплаты2008'!$D$2,0)</f>
        <v>3605</v>
      </c>
      <c r="Y10" s="33"/>
      <c r="Z10" s="33">
        <f>X10+1745</f>
        <v>5350</v>
      </c>
      <c r="AA10" s="44">
        <f t="shared" si="20"/>
        <v>2696.6400000000003</v>
      </c>
      <c r="AB10" s="51">
        <f t="shared" si="21"/>
        <v>2760.24</v>
      </c>
      <c r="AC10" s="51">
        <f t="shared" si="22"/>
        <v>152.64000000000033</v>
      </c>
      <c r="AD10" s="51">
        <f t="shared" si="23"/>
        <v>216.23999999999978</v>
      </c>
      <c r="AE10" s="33">
        <f t="shared" si="24"/>
        <v>2967.26</v>
      </c>
      <c r="AF10" s="42">
        <f t="shared" si="25"/>
        <v>207.02000000000044</v>
      </c>
      <c r="AG10" s="33">
        <v>3360</v>
      </c>
      <c r="AH10" s="33">
        <f t="shared" si="26"/>
        <v>392.7399999999998</v>
      </c>
      <c r="AI10" s="42">
        <f t="shared" si="27"/>
        <v>599.7600000000002</v>
      </c>
      <c r="AJ10" s="42">
        <f t="shared" si="28"/>
        <v>3595.2</v>
      </c>
      <c r="AK10" s="33">
        <v>3544.8</v>
      </c>
      <c r="AL10" s="38">
        <f t="shared" si="29"/>
        <v>4120</v>
      </c>
      <c r="AM10" s="38">
        <v>4064</v>
      </c>
      <c r="AN10" s="38">
        <v>4287.52</v>
      </c>
      <c r="AO10" s="38">
        <v>4832</v>
      </c>
      <c r="AP10" s="38">
        <v>4458.51</v>
      </c>
      <c r="AQ10" s="39">
        <f t="shared" si="30"/>
        <v>7372.22</v>
      </c>
      <c r="AR10">
        <f t="shared" si="31"/>
        <v>5556.799999999999</v>
      </c>
      <c r="AS10">
        <v>613.69</v>
      </c>
      <c r="AT10" s="77">
        <v>1926.53</v>
      </c>
      <c r="AU10">
        <f t="shared" si="32"/>
        <v>8097.0199999999995</v>
      </c>
      <c r="AV10">
        <f t="shared" si="33"/>
        <v>5798.4</v>
      </c>
      <c r="AW10">
        <f t="shared" si="34"/>
        <v>8338.62</v>
      </c>
      <c r="AX10">
        <f t="shared" si="35"/>
        <v>6281.6</v>
      </c>
      <c r="AY10">
        <f t="shared" si="36"/>
        <v>6895.290000000001</v>
      </c>
      <c r="AZ10">
        <f t="shared" si="37"/>
        <v>6764.799999999999</v>
      </c>
      <c r="BA10">
        <f t="shared" si="38"/>
        <v>7378.49</v>
      </c>
      <c r="BB10">
        <f t="shared" si="39"/>
        <v>7248</v>
      </c>
      <c r="BC10">
        <f t="shared" si="40"/>
        <v>7861.6900000000005</v>
      </c>
      <c r="BD10">
        <f t="shared" si="41"/>
        <v>7731.200000000001</v>
      </c>
      <c r="BE10">
        <f t="shared" si="42"/>
        <v>8344.890000000001</v>
      </c>
      <c r="BF10">
        <f t="shared" si="43"/>
        <v>8214.4</v>
      </c>
      <c r="BG10">
        <f t="shared" si="44"/>
        <v>8828.09</v>
      </c>
      <c r="BH10">
        <f t="shared" si="45"/>
        <v>8697.6</v>
      </c>
      <c r="BI10">
        <f t="shared" si="46"/>
        <v>9311.29</v>
      </c>
      <c r="BJ10">
        <f t="shared" si="47"/>
        <v>9664</v>
      </c>
      <c r="BK10">
        <v>613.69</v>
      </c>
      <c r="BL10" s="38">
        <f t="shared" si="48"/>
        <v>4400.16</v>
      </c>
      <c r="BM10" s="33">
        <f t="shared" si="49"/>
        <v>5200</v>
      </c>
      <c r="BN10" s="42">
        <f t="shared" si="50"/>
        <v>5538</v>
      </c>
      <c r="BO10" s="33">
        <f>'[2]Труд_по старости'!BP15</f>
        <v>4160</v>
      </c>
      <c r="BP10" s="33">
        <f t="shared" si="51"/>
        <v>800</v>
      </c>
      <c r="BQ10" s="78">
        <f t="shared" si="52"/>
        <v>3872</v>
      </c>
      <c r="BR10" s="33">
        <f t="shared" si="53"/>
        <v>512</v>
      </c>
      <c r="BS10" s="33">
        <f>'[2]Труд_по старости'!BT15</f>
        <v>4784</v>
      </c>
      <c r="BT10" s="38">
        <f t="shared" si="54"/>
        <v>624</v>
      </c>
    </row>
    <row r="11" spans="1:72" ht="12.75">
      <c r="A11" s="34" t="s">
        <v>76</v>
      </c>
      <c r="B11" s="42">
        <v>1350</v>
      </c>
      <c r="C11" s="42">
        <f t="shared" si="0"/>
        <v>1437.75</v>
      </c>
      <c r="D11" s="42">
        <f t="shared" si="1"/>
        <v>1567.15</v>
      </c>
      <c r="E11" s="42">
        <f t="shared" si="2"/>
        <v>94.02999999999997</v>
      </c>
      <c r="F11" s="42">
        <f t="shared" si="3"/>
        <v>1661.18</v>
      </c>
      <c r="G11" s="42">
        <f t="shared" si="4"/>
        <v>1794.07</v>
      </c>
      <c r="H11" s="42">
        <f t="shared" si="5"/>
        <v>226.91999999999985</v>
      </c>
      <c r="I11" s="42">
        <f t="shared" si="6"/>
        <v>1863.01</v>
      </c>
      <c r="J11" s="42">
        <f t="shared" si="7"/>
        <v>68.94000000000005</v>
      </c>
      <c r="K11" s="33">
        <f t="shared" si="8"/>
        <v>1980.01</v>
      </c>
      <c r="L11" s="42">
        <f t="shared" si="9"/>
        <v>185.94000000000005</v>
      </c>
      <c r="M11" s="33">
        <f t="shared" si="10"/>
        <v>2700.01</v>
      </c>
      <c r="N11" s="33">
        <f t="shared" si="11"/>
        <v>720.0000000000002</v>
      </c>
      <c r="O11" s="33">
        <v>2700</v>
      </c>
      <c r="P11" s="79">
        <f t="shared" si="12"/>
        <v>719.99</v>
      </c>
      <c r="Q11" s="80">
        <f t="shared" si="13"/>
        <v>3105</v>
      </c>
      <c r="R11" s="79">
        <f t="shared" si="14"/>
        <v>3726</v>
      </c>
      <c r="S11" s="79">
        <f t="shared" si="15"/>
        <v>5400</v>
      </c>
      <c r="T11" s="33">
        <f t="shared" si="16"/>
        <v>994</v>
      </c>
      <c r="U11" s="38">
        <f t="shared" si="17"/>
        <v>1440</v>
      </c>
      <c r="V11">
        <f t="shared" si="18"/>
        <v>994</v>
      </c>
      <c r="W11" s="38">
        <f t="shared" si="19"/>
        <v>2862</v>
      </c>
      <c r="X11" s="33">
        <f>ROUND(W11*'[1]старость_доплаты2008'!$C$2*'[1]старость_доплаты2008'!$D$2,0)</f>
        <v>4056</v>
      </c>
      <c r="Y11" s="33"/>
      <c r="Z11" s="33">
        <f>X11+1745</f>
        <v>5801</v>
      </c>
      <c r="AA11" s="44">
        <f t="shared" si="20"/>
        <v>3033.7200000000003</v>
      </c>
      <c r="AB11" s="51">
        <f t="shared" si="21"/>
        <v>3105.27</v>
      </c>
      <c r="AC11" s="51">
        <f t="shared" si="22"/>
        <v>171.72000000000025</v>
      </c>
      <c r="AD11" s="51">
        <f t="shared" si="23"/>
        <v>243.26999999999998</v>
      </c>
      <c r="AE11" s="33">
        <f t="shared" si="24"/>
        <v>3338.17</v>
      </c>
      <c r="AF11" s="42">
        <f t="shared" si="25"/>
        <v>232.9000000000001</v>
      </c>
      <c r="AG11" s="33">
        <v>3780</v>
      </c>
      <c r="AH11" s="33">
        <f t="shared" si="26"/>
        <v>441.8299999999999</v>
      </c>
      <c r="AI11" s="42">
        <f t="shared" si="27"/>
        <v>674.73</v>
      </c>
      <c r="AJ11" s="42">
        <f t="shared" si="28"/>
        <v>4044.6</v>
      </c>
      <c r="AK11" s="33">
        <v>3987.9</v>
      </c>
      <c r="AL11" s="38">
        <f t="shared" si="29"/>
        <v>4635</v>
      </c>
      <c r="AM11" s="38">
        <v>4572</v>
      </c>
      <c r="AN11" s="38">
        <v>4823.46</v>
      </c>
      <c r="AO11" s="38">
        <v>5436</v>
      </c>
      <c r="AP11" s="38">
        <v>5015.82</v>
      </c>
      <c r="AQ11" s="39">
        <f t="shared" si="30"/>
        <v>7976.22</v>
      </c>
      <c r="AR11">
        <f t="shared" si="31"/>
        <v>6251.4</v>
      </c>
      <c r="AS11">
        <v>613.69</v>
      </c>
      <c r="AT11" s="77">
        <v>1926.53</v>
      </c>
      <c r="AU11">
        <f t="shared" si="32"/>
        <v>8791.62</v>
      </c>
      <c r="AV11">
        <f t="shared" si="33"/>
        <v>6523.2</v>
      </c>
      <c r="AW11">
        <f t="shared" si="34"/>
        <v>9063.42</v>
      </c>
      <c r="AX11">
        <f t="shared" si="35"/>
        <v>7066.8</v>
      </c>
      <c r="AY11">
        <f t="shared" si="36"/>
        <v>7680.49</v>
      </c>
      <c r="AZ11">
        <f t="shared" si="37"/>
        <v>7610.4</v>
      </c>
      <c r="BA11">
        <f t="shared" si="38"/>
        <v>8224.09</v>
      </c>
      <c r="BB11">
        <f t="shared" si="39"/>
        <v>8154</v>
      </c>
      <c r="BC11">
        <f t="shared" si="40"/>
        <v>8767.69</v>
      </c>
      <c r="BD11">
        <f t="shared" si="41"/>
        <v>8697.6</v>
      </c>
      <c r="BE11">
        <f t="shared" si="42"/>
        <v>9311.29</v>
      </c>
      <c r="BF11">
        <f t="shared" si="43"/>
        <v>9241.199999999999</v>
      </c>
      <c r="BG11">
        <f t="shared" si="44"/>
        <v>9854.89</v>
      </c>
      <c r="BH11">
        <f t="shared" si="45"/>
        <v>9784.800000000001</v>
      </c>
      <c r="BI11">
        <f t="shared" si="46"/>
        <v>10398.490000000002</v>
      </c>
      <c r="BJ11">
        <f t="shared" si="47"/>
        <v>10872</v>
      </c>
      <c r="BK11">
        <v>613.69</v>
      </c>
      <c r="BL11" s="38">
        <f t="shared" si="48"/>
        <v>4950.18</v>
      </c>
      <c r="BM11" s="33">
        <f t="shared" si="49"/>
        <v>5850</v>
      </c>
      <c r="BN11" s="42">
        <f t="shared" si="50"/>
        <v>6230.25</v>
      </c>
      <c r="BO11" s="33">
        <f>'[2]Труд_по старости'!BP16</f>
        <v>4680</v>
      </c>
      <c r="BP11" s="33">
        <f t="shared" si="51"/>
        <v>900</v>
      </c>
      <c r="BQ11" s="78">
        <f t="shared" si="52"/>
        <v>4356</v>
      </c>
      <c r="BR11" s="33">
        <f t="shared" si="53"/>
        <v>576</v>
      </c>
      <c r="BS11" s="33">
        <f>'[2]Труд_по старости'!BT16</f>
        <v>5382</v>
      </c>
      <c r="BT11" s="38">
        <f t="shared" si="54"/>
        <v>702</v>
      </c>
    </row>
    <row r="12" spans="1:72" ht="12.75">
      <c r="A12" s="32" t="s">
        <v>90</v>
      </c>
      <c r="B12" s="42"/>
      <c r="C12" s="42">
        <f t="shared" si="0"/>
        <v>0</v>
      </c>
      <c r="D12" s="42">
        <f t="shared" si="1"/>
        <v>0</v>
      </c>
      <c r="E12" s="42">
        <f t="shared" si="2"/>
        <v>0</v>
      </c>
      <c r="F12" s="42">
        <f t="shared" si="3"/>
        <v>0</v>
      </c>
      <c r="G12" s="42">
        <f t="shared" si="4"/>
        <v>0</v>
      </c>
      <c r="H12" s="42">
        <f t="shared" si="5"/>
        <v>0</v>
      </c>
      <c r="I12" s="42">
        <f t="shared" si="6"/>
        <v>0</v>
      </c>
      <c r="J12" s="42">
        <f t="shared" si="7"/>
        <v>0</v>
      </c>
      <c r="K12" s="33">
        <f t="shared" si="8"/>
        <v>0</v>
      </c>
      <c r="L12" s="42">
        <f t="shared" si="9"/>
        <v>0</v>
      </c>
      <c r="M12" s="33">
        <f t="shared" si="10"/>
        <v>0</v>
      </c>
      <c r="N12" s="33">
        <f t="shared" si="11"/>
        <v>0</v>
      </c>
      <c r="O12" s="33"/>
      <c r="P12" s="48">
        <f t="shared" si="12"/>
        <v>0</v>
      </c>
      <c r="Q12" s="47">
        <f t="shared" si="13"/>
        <v>0</v>
      </c>
      <c r="R12" s="48">
        <f t="shared" si="14"/>
        <v>0</v>
      </c>
      <c r="S12" s="48">
        <f t="shared" si="15"/>
        <v>0</v>
      </c>
      <c r="T12" s="33">
        <f t="shared" si="16"/>
        <v>0</v>
      </c>
      <c r="U12" s="38">
        <f t="shared" si="17"/>
        <v>0</v>
      </c>
      <c r="V12">
        <f t="shared" si="18"/>
        <v>0</v>
      </c>
      <c r="W12" s="38">
        <f t="shared" si="19"/>
        <v>0</v>
      </c>
      <c r="X12" s="33">
        <f>ROUND(W12*'[1]старость_доплаты2008'!$C$2*'[1]старость_доплаты2008'!$D$2,0)</f>
        <v>0</v>
      </c>
      <c r="Y12" s="72">
        <f>1000*1.06*'[1]старость_доплаты2008'!$C$4*'[1]старость_доплаты2008'!$D$4</f>
        <v>1246.7555487999998</v>
      </c>
      <c r="Z12" s="33"/>
      <c r="AA12" s="44">
        <f t="shared" si="20"/>
        <v>0</v>
      </c>
      <c r="AB12" s="51">
        <f t="shared" si="21"/>
        <v>0</v>
      </c>
      <c r="AC12" s="51">
        <f t="shared" si="22"/>
        <v>0</v>
      </c>
      <c r="AD12" s="51">
        <f t="shared" si="23"/>
        <v>0</v>
      </c>
      <c r="AE12" s="33">
        <f t="shared" si="24"/>
        <v>0</v>
      </c>
      <c r="AF12" s="42">
        <f t="shared" si="25"/>
        <v>0</v>
      </c>
      <c r="AG12" s="34"/>
      <c r="AH12" s="33">
        <f t="shared" si="26"/>
        <v>0</v>
      </c>
      <c r="AI12" s="42">
        <f t="shared" si="27"/>
        <v>0</v>
      </c>
      <c r="AJ12" s="42">
        <f t="shared" si="28"/>
        <v>0</v>
      </c>
      <c r="AK12" s="34"/>
      <c r="AL12" s="38">
        <f t="shared" si="29"/>
        <v>0</v>
      </c>
      <c r="AM12" s="35"/>
      <c r="AN12" s="35"/>
      <c r="AO12" s="35"/>
      <c r="AP12" s="35"/>
      <c r="AQ12" s="39">
        <f t="shared" si="30"/>
        <v>0</v>
      </c>
      <c r="AR12">
        <f t="shared" si="31"/>
        <v>0</v>
      </c>
      <c r="AU12">
        <f t="shared" si="32"/>
        <v>0</v>
      </c>
      <c r="AV12">
        <f t="shared" si="33"/>
        <v>0</v>
      </c>
      <c r="AW12">
        <f t="shared" si="34"/>
        <v>0</v>
      </c>
      <c r="AX12">
        <f t="shared" si="35"/>
        <v>0</v>
      </c>
      <c r="AY12">
        <f t="shared" si="36"/>
        <v>0</v>
      </c>
      <c r="AZ12">
        <f t="shared" si="37"/>
        <v>0</v>
      </c>
      <c r="BA12">
        <f t="shared" si="38"/>
        <v>0</v>
      </c>
      <c r="BB12">
        <f t="shared" si="39"/>
        <v>0</v>
      </c>
      <c r="BC12">
        <f t="shared" si="40"/>
        <v>0</v>
      </c>
      <c r="BD12">
        <f t="shared" si="41"/>
        <v>0</v>
      </c>
      <c r="BE12">
        <f t="shared" si="42"/>
        <v>0</v>
      </c>
      <c r="BF12">
        <f t="shared" si="43"/>
        <v>0</v>
      </c>
      <c r="BG12">
        <f t="shared" si="44"/>
        <v>0</v>
      </c>
      <c r="BH12">
        <f t="shared" si="45"/>
        <v>0</v>
      </c>
      <c r="BI12">
        <f t="shared" si="46"/>
        <v>0</v>
      </c>
      <c r="BJ12">
        <f t="shared" si="47"/>
        <v>0</v>
      </c>
      <c r="BL12" s="38">
        <f t="shared" si="48"/>
        <v>0</v>
      </c>
      <c r="BM12" s="33">
        <f t="shared" si="49"/>
        <v>0</v>
      </c>
      <c r="BN12" s="42">
        <f t="shared" si="50"/>
        <v>0</v>
      </c>
      <c r="BO12" s="33"/>
      <c r="BP12" s="33">
        <f t="shared" si="51"/>
        <v>0</v>
      </c>
      <c r="BQ12" s="78">
        <f t="shared" si="52"/>
        <v>0</v>
      </c>
      <c r="BR12" s="33">
        <f t="shared" si="53"/>
        <v>0</v>
      </c>
      <c r="BS12" s="33"/>
      <c r="BT12" s="38">
        <f t="shared" si="54"/>
        <v>0</v>
      </c>
    </row>
    <row r="13" spans="1:72" ht="12.75">
      <c r="A13" s="34" t="s">
        <v>73</v>
      </c>
      <c r="B13" s="42">
        <v>450</v>
      </c>
      <c r="C13" s="42">
        <f t="shared" si="0"/>
        <v>479.25</v>
      </c>
      <c r="D13" s="42">
        <f t="shared" si="1"/>
        <v>522.38</v>
      </c>
      <c r="E13" s="42">
        <f t="shared" si="2"/>
        <v>31.340000000000032</v>
      </c>
      <c r="F13" s="42">
        <f t="shared" si="3"/>
        <v>553.72</v>
      </c>
      <c r="G13" s="42">
        <f t="shared" si="4"/>
        <v>598.02</v>
      </c>
      <c r="H13" s="42">
        <f t="shared" si="5"/>
        <v>75.63999999999999</v>
      </c>
      <c r="I13" s="42">
        <f t="shared" si="6"/>
        <v>621</v>
      </c>
      <c r="J13" s="42">
        <f t="shared" si="7"/>
        <v>22.980000000000018</v>
      </c>
      <c r="K13" s="75">
        <f t="shared" si="8"/>
        <v>660</v>
      </c>
      <c r="L13" s="75">
        <f t="shared" si="9"/>
        <v>61.98000000000002</v>
      </c>
      <c r="M13" s="45">
        <f t="shared" si="10"/>
        <v>900</v>
      </c>
      <c r="N13" s="49">
        <f t="shared" si="11"/>
        <v>240</v>
      </c>
      <c r="O13" s="45">
        <v>900</v>
      </c>
      <c r="P13" s="48">
        <f t="shared" si="12"/>
        <v>240</v>
      </c>
      <c r="Q13" s="47">
        <f t="shared" si="13"/>
        <v>1035</v>
      </c>
      <c r="R13" s="48">
        <f t="shared" si="14"/>
        <v>1242</v>
      </c>
      <c r="S13" s="48">
        <f t="shared" si="15"/>
        <v>1800</v>
      </c>
      <c r="T13" s="49">
        <f t="shared" si="16"/>
        <v>331</v>
      </c>
      <c r="U13" s="76">
        <f t="shared" si="17"/>
        <v>480</v>
      </c>
      <c r="V13">
        <f t="shared" si="18"/>
        <v>331</v>
      </c>
      <c r="W13" s="38">
        <f t="shared" si="19"/>
        <v>954</v>
      </c>
      <c r="X13" s="33">
        <f>ROUND(W13*'[1]старость_доплаты2008'!$C$2*'[1]старость_доплаты2008'!$D$2,0)</f>
        <v>1352</v>
      </c>
      <c r="Y13" s="33"/>
      <c r="Z13" s="72">
        <f>X13+Y$12</f>
        <v>2598.7555488</v>
      </c>
      <c r="AA13" s="44">
        <f t="shared" si="20"/>
        <v>1011.24</v>
      </c>
      <c r="AB13" s="51">
        <f t="shared" si="21"/>
        <v>1035.09</v>
      </c>
      <c r="AC13" s="51">
        <f t="shared" si="22"/>
        <v>57.24000000000001</v>
      </c>
      <c r="AD13" s="51">
        <f t="shared" si="23"/>
        <v>81.08999999999992</v>
      </c>
      <c r="AE13" s="33">
        <f t="shared" si="24"/>
        <v>1112.72</v>
      </c>
      <c r="AF13" s="42">
        <f t="shared" si="25"/>
        <v>77.63000000000011</v>
      </c>
      <c r="AG13" s="33">
        <v>1260</v>
      </c>
      <c r="AH13" s="33">
        <f t="shared" si="26"/>
        <v>147.27999999999997</v>
      </c>
      <c r="AI13" s="42">
        <f t="shared" si="27"/>
        <v>224.91000000000008</v>
      </c>
      <c r="AJ13" s="42">
        <f t="shared" si="28"/>
        <v>1348.2</v>
      </c>
      <c r="AK13" s="33">
        <v>1329.3</v>
      </c>
      <c r="AL13" s="38">
        <f t="shared" si="29"/>
        <v>1545</v>
      </c>
      <c r="AM13" s="38">
        <v>1524</v>
      </c>
      <c r="AN13" s="38">
        <v>1607.82</v>
      </c>
      <c r="AO13" s="38">
        <v>1812</v>
      </c>
      <c r="AP13" s="38">
        <v>1671.94</v>
      </c>
      <c r="AQ13" s="39">
        <f t="shared" si="30"/>
        <v>3801.79</v>
      </c>
      <c r="AR13">
        <f t="shared" si="31"/>
        <v>2083.7999999999997</v>
      </c>
      <c r="AS13">
        <v>613.69</v>
      </c>
      <c r="AT13" s="77">
        <v>1376.1</v>
      </c>
      <c r="AU13">
        <f t="shared" si="32"/>
        <v>4073.5899999999997</v>
      </c>
      <c r="AV13">
        <f t="shared" si="33"/>
        <v>2174.4</v>
      </c>
      <c r="AW13">
        <f t="shared" si="34"/>
        <v>4164.1900000000005</v>
      </c>
      <c r="AX13">
        <f t="shared" si="35"/>
        <v>2355.6</v>
      </c>
      <c r="AY13">
        <f t="shared" si="36"/>
        <v>2969.29</v>
      </c>
      <c r="AZ13">
        <f t="shared" si="37"/>
        <v>2536.7999999999997</v>
      </c>
      <c r="BA13">
        <f t="shared" si="38"/>
        <v>3150.49</v>
      </c>
      <c r="BB13">
        <f t="shared" si="39"/>
        <v>2718</v>
      </c>
      <c r="BC13">
        <f t="shared" si="40"/>
        <v>3331.69</v>
      </c>
      <c r="BD13">
        <f t="shared" si="41"/>
        <v>2899.2000000000003</v>
      </c>
      <c r="BE13">
        <f t="shared" si="42"/>
        <v>3512.8900000000003</v>
      </c>
      <c r="BF13">
        <f t="shared" si="43"/>
        <v>3080.4</v>
      </c>
      <c r="BG13">
        <f t="shared" si="44"/>
        <v>3694.09</v>
      </c>
      <c r="BH13">
        <f t="shared" si="45"/>
        <v>3261.6</v>
      </c>
      <c r="BI13">
        <f t="shared" si="46"/>
        <v>3875.29</v>
      </c>
      <c r="BJ13">
        <f t="shared" si="47"/>
        <v>3624</v>
      </c>
      <c r="BK13">
        <v>613.69</v>
      </c>
      <c r="BL13" s="38">
        <f t="shared" si="48"/>
        <v>1650.06</v>
      </c>
      <c r="BM13" s="33">
        <f t="shared" si="49"/>
        <v>1950</v>
      </c>
      <c r="BN13" s="42">
        <f t="shared" si="50"/>
        <v>2076.75</v>
      </c>
      <c r="BO13" s="33">
        <f>'[2]Труд_по старости'!BP8</f>
        <v>1560</v>
      </c>
      <c r="BP13" s="33">
        <f t="shared" si="51"/>
        <v>300</v>
      </c>
      <c r="BQ13" s="78">
        <f t="shared" si="52"/>
        <v>1452</v>
      </c>
      <c r="BR13" s="33">
        <f t="shared" si="53"/>
        <v>192</v>
      </c>
      <c r="BS13" s="33">
        <f>'[2]Труд_по старости'!BT8</f>
        <v>1794</v>
      </c>
      <c r="BT13" s="38">
        <f t="shared" si="54"/>
        <v>234</v>
      </c>
    </row>
    <row r="14" spans="1:72" ht="12.75">
      <c r="A14" s="34" t="s">
        <v>74</v>
      </c>
      <c r="B14" s="42">
        <v>600</v>
      </c>
      <c r="C14" s="42">
        <f t="shared" si="0"/>
        <v>639</v>
      </c>
      <c r="D14" s="42">
        <f t="shared" si="1"/>
        <v>696.51</v>
      </c>
      <c r="E14" s="42">
        <f t="shared" si="2"/>
        <v>41.789999999999964</v>
      </c>
      <c r="F14" s="42">
        <f t="shared" si="3"/>
        <v>738.3</v>
      </c>
      <c r="G14" s="42">
        <f t="shared" si="4"/>
        <v>797.36</v>
      </c>
      <c r="H14" s="42">
        <f t="shared" si="5"/>
        <v>100.85000000000002</v>
      </c>
      <c r="I14" s="42">
        <f t="shared" si="6"/>
        <v>828</v>
      </c>
      <c r="J14" s="42">
        <f t="shared" si="7"/>
        <v>30.639999999999986</v>
      </c>
      <c r="K14" s="42">
        <f t="shared" si="8"/>
        <v>880</v>
      </c>
      <c r="L14" s="42">
        <f t="shared" si="9"/>
        <v>82.63999999999999</v>
      </c>
      <c r="M14" s="33">
        <f t="shared" si="10"/>
        <v>1200</v>
      </c>
      <c r="N14" s="33">
        <f t="shared" si="11"/>
        <v>320</v>
      </c>
      <c r="O14" s="33">
        <v>1200</v>
      </c>
      <c r="P14" s="79">
        <f t="shared" si="12"/>
        <v>320</v>
      </c>
      <c r="Q14" s="80">
        <f t="shared" si="13"/>
        <v>1380</v>
      </c>
      <c r="R14" s="79">
        <f t="shared" si="14"/>
        <v>1656</v>
      </c>
      <c r="S14" s="79">
        <f t="shared" si="15"/>
        <v>2400</v>
      </c>
      <c r="T14" s="33">
        <f t="shared" si="16"/>
        <v>442</v>
      </c>
      <c r="U14" s="38">
        <f t="shared" si="17"/>
        <v>640</v>
      </c>
      <c r="V14">
        <f t="shared" si="18"/>
        <v>442</v>
      </c>
      <c r="W14" s="38">
        <f t="shared" si="19"/>
        <v>1272</v>
      </c>
      <c r="X14" s="33">
        <f>ROUND(W14*'[1]старость_доплаты2008'!$C$2*'[1]старость_доплаты2008'!$D$2,0)</f>
        <v>1803</v>
      </c>
      <c r="Y14" s="33"/>
      <c r="Z14" s="72">
        <f>X14+Y$12</f>
        <v>3049.7555488</v>
      </c>
      <c r="AA14" s="44">
        <f t="shared" si="20"/>
        <v>1348.3200000000002</v>
      </c>
      <c r="AB14" s="51">
        <f t="shared" si="21"/>
        <v>1380.12</v>
      </c>
      <c r="AC14" s="51">
        <f t="shared" si="22"/>
        <v>76.32000000000016</v>
      </c>
      <c r="AD14" s="51">
        <f t="shared" si="23"/>
        <v>108.11999999999989</v>
      </c>
      <c r="AE14" s="33">
        <f t="shared" si="24"/>
        <v>1483.63</v>
      </c>
      <c r="AF14" s="42">
        <f t="shared" si="25"/>
        <v>103.51000000000022</v>
      </c>
      <c r="AG14" s="33">
        <v>1680</v>
      </c>
      <c r="AH14" s="33">
        <f t="shared" si="26"/>
        <v>196.3699999999999</v>
      </c>
      <c r="AI14" s="42">
        <f t="shared" si="27"/>
        <v>299.8800000000001</v>
      </c>
      <c r="AJ14" s="42">
        <f t="shared" si="28"/>
        <v>1797.6</v>
      </c>
      <c r="AK14" s="33">
        <v>1772.4</v>
      </c>
      <c r="AL14" s="38">
        <f t="shared" si="29"/>
        <v>2060</v>
      </c>
      <c r="AM14" s="38">
        <v>2032</v>
      </c>
      <c r="AN14" s="38">
        <v>2143.76</v>
      </c>
      <c r="AO14" s="38">
        <v>2416</v>
      </c>
      <c r="AP14" s="38">
        <v>2229.25</v>
      </c>
      <c r="AQ14" s="39">
        <f t="shared" si="30"/>
        <v>4405.79</v>
      </c>
      <c r="AR14">
        <f t="shared" si="31"/>
        <v>2778.3999999999996</v>
      </c>
      <c r="AS14">
        <v>613.69</v>
      </c>
      <c r="AT14" s="77">
        <v>1376.1</v>
      </c>
      <c r="AU14">
        <f t="shared" si="32"/>
        <v>4768.19</v>
      </c>
      <c r="AV14">
        <f t="shared" si="33"/>
        <v>2899.2</v>
      </c>
      <c r="AW14">
        <f t="shared" si="34"/>
        <v>4888.99</v>
      </c>
      <c r="AX14">
        <f t="shared" si="35"/>
        <v>3140.8</v>
      </c>
      <c r="AY14">
        <f t="shared" si="36"/>
        <v>3754.4900000000002</v>
      </c>
      <c r="AZ14">
        <f t="shared" si="37"/>
        <v>3382.3999999999996</v>
      </c>
      <c r="BA14">
        <f t="shared" si="38"/>
        <v>3996.0899999999997</v>
      </c>
      <c r="BB14">
        <f t="shared" si="39"/>
        <v>3624</v>
      </c>
      <c r="BC14">
        <f t="shared" si="40"/>
        <v>4237.6900000000005</v>
      </c>
      <c r="BD14">
        <f t="shared" si="41"/>
        <v>3865.6000000000004</v>
      </c>
      <c r="BE14">
        <f t="shared" si="42"/>
        <v>4479.290000000001</v>
      </c>
      <c r="BF14">
        <f t="shared" si="43"/>
        <v>4107.2</v>
      </c>
      <c r="BG14">
        <f t="shared" si="44"/>
        <v>4720.889999999999</v>
      </c>
      <c r="BH14">
        <f t="shared" si="45"/>
        <v>4348.8</v>
      </c>
      <c r="BI14">
        <f t="shared" si="46"/>
        <v>4962.49</v>
      </c>
      <c r="BJ14">
        <f t="shared" si="47"/>
        <v>4832</v>
      </c>
      <c r="BK14">
        <v>613.69</v>
      </c>
      <c r="BL14" s="38">
        <f t="shared" si="48"/>
        <v>2200.08</v>
      </c>
      <c r="BM14" s="33">
        <f t="shared" si="49"/>
        <v>2600</v>
      </c>
      <c r="BN14" s="42">
        <f t="shared" si="50"/>
        <v>2769</v>
      </c>
      <c r="BO14" s="33">
        <f>'[2]Труд_по старости'!BP9</f>
        <v>2080</v>
      </c>
      <c r="BP14" s="33">
        <f t="shared" si="51"/>
        <v>400</v>
      </c>
      <c r="BQ14" s="78">
        <f t="shared" si="52"/>
        <v>1936</v>
      </c>
      <c r="BR14" s="33">
        <f t="shared" si="53"/>
        <v>256</v>
      </c>
      <c r="BS14" s="33">
        <f>'[2]Труд_по старости'!BT9</f>
        <v>2392</v>
      </c>
      <c r="BT14" s="38">
        <f t="shared" si="54"/>
        <v>312</v>
      </c>
    </row>
    <row r="15" spans="1:72" ht="12.75">
      <c r="A15" s="34" t="s">
        <v>75</v>
      </c>
      <c r="B15" s="42">
        <v>750</v>
      </c>
      <c r="C15" s="42">
        <f t="shared" si="0"/>
        <v>798.75</v>
      </c>
      <c r="D15" s="42">
        <f t="shared" si="1"/>
        <v>870.64</v>
      </c>
      <c r="E15" s="42">
        <f t="shared" si="2"/>
        <v>52.24000000000001</v>
      </c>
      <c r="F15" s="42">
        <f t="shared" si="3"/>
        <v>922.88</v>
      </c>
      <c r="G15" s="42">
        <f t="shared" si="4"/>
        <v>996.71</v>
      </c>
      <c r="H15" s="42">
        <f t="shared" si="5"/>
        <v>126.07000000000005</v>
      </c>
      <c r="I15" s="42">
        <f t="shared" si="6"/>
        <v>1035.01</v>
      </c>
      <c r="J15" s="42">
        <f t="shared" si="7"/>
        <v>38.299999999999955</v>
      </c>
      <c r="K15" s="33">
        <f t="shared" si="8"/>
        <v>1100.01</v>
      </c>
      <c r="L15" s="42">
        <f t="shared" si="9"/>
        <v>103.29999999999995</v>
      </c>
      <c r="M15" s="33">
        <f t="shared" si="10"/>
        <v>1500.01</v>
      </c>
      <c r="N15" s="33">
        <f t="shared" si="11"/>
        <v>400</v>
      </c>
      <c r="O15" s="33">
        <v>1500</v>
      </c>
      <c r="P15" s="79">
        <f t="shared" si="12"/>
        <v>399.99</v>
      </c>
      <c r="Q15" s="80">
        <f t="shared" si="13"/>
        <v>1725</v>
      </c>
      <c r="R15" s="79">
        <f t="shared" si="14"/>
        <v>2070</v>
      </c>
      <c r="S15" s="79">
        <f t="shared" si="15"/>
        <v>3000</v>
      </c>
      <c r="T15" s="33">
        <f t="shared" si="16"/>
        <v>552</v>
      </c>
      <c r="U15" s="38">
        <f t="shared" si="17"/>
        <v>800</v>
      </c>
      <c r="V15">
        <f t="shared" si="18"/>
        <v>552</v>
      </c>
      <c r="W15" s="38">
        <f t="shared" si="19"/>
        <v>1590</v>
      </c>
      <c r="X15" s="33">
        <f>ROUND(W15*'[1]старость_доплаты2008'!$C$2*'[1]старость_доплаты2008'!$D$2,0)</f>
        <v>2253</v>
      </c>
      <c r="Y15" s="33"/>
      <c r="Z15" s="72">
        <f>X15+Y$12</f>
        <v>3499.7555488</v>
      </c>
      <c r="AA15" s="44">
        <f t="shared" si="20"/>
        <v>1685.4</v>
      </c>
      <c r="AB15" s="51">
        <f t="shared" si="21"/>
        <v>1725.1499999999999</v>
      </c>
      <c r="AC15" s="51">
        <f t="shared" si="22"/>
        <v>95.40000000000009</v>
      </c>
      <c r="AD15" s="51">
        <f t="shared" si="23"/>
        <v>135.14999999999986</v>
      </c>
      <c r="AE15" s="33">
        <f t="shared" si="24"/>
        <v>1854.54</v>
      </c>
      <c r="AF15" s="42">
        <f t="shared" si="25"/>
        <v>129.3900000000001</v>
      </c>
      <c r="AG15" s="33">
        <v>2100</v>
      </c>
      <c r="AH15" s="33">
        <f t="shared" si="26"/>
        <v>245.46000000000004</v>
      </c>
      <c r="AI15" s="42">
        <f t="shared" si="27"/>
        <v>374.85000000000014</v>
      </c>
      <c r="AJ15" s="42">
        <f t="shared" si="28"/>
        <v>2247</v>
      </c>
      <c r="AK15" s="33">
        <v>2215.5</v>
      </c>
      <c r="AL15" s="38">
        <f t="shared" si="29"/>
        <v>2575</v>
      </c>
      <c r="AM15" s="38">
        <v>2540</v>
      </c>
      <c r="AN15" s="51">
        <v>2679.7</v>
      </c>
      <c r="AO15" s="38">
        <v>3020</v>
      </c>
      <c r="AP15" s="38">
        <v>2786.57</v>
      </c>
      <c r="AQ15" s="39">
        <f t="shared" si="30"/>
        <v>5009.79</v>
      </c>
      <c r="AR15">
        <f t="shared" si="31"/>
        <v>3472.9999999999995</v>
      </c>
      <c r="AS15">
        <v>613.69</v>
      </c>
      <c r="AT15" s="77">
        <v>1376.1</v>
      </c>
      <c r="AU15">
        <f t="shared" si="32"/>
        <v>5462.789999999999</v>
      </c>
      <c r="AV15">
        <f t="shared" si="33"/>
        <v>3624</v>
      </c>
      <c r="AW15">
        <f t="shared" si="34"/>
        <v>5613.790000000001</v>
      </c>
      <c r="AX15">
        <f t="shared" si="35"/>
        <v>3926</v>
      </c>
      <c r="AY15">
        <f t="shared" si="36"/>
        <v>4539.6900000000005</v>
      </c>
      <c r="AZ15">
        <f t="shared" si="37"/>
        <v>4228</v>
      </c>
      <c r="BA15">
        <f t="shared" si="38"/>
        <v>4841.6900000000005</v>
      </c>
      <c r="BB15">
        <f t="shared" si="39"/>
        <v>4530</v>
      </c>
      <c r="BC15">
        <f t="shared" si="40"/>
        <v>5143.6900000000005</v>
      </c>
      <c r="BD15">
        <f t="shared" si="41"/>
        <v>4832</v>
      </c>
      <c r="BE15">
        <f t="shared" si="42"/>
        <v>5445.6900000000005</v>
      </c>
      <c r="BF15">
        <f t="shared" si="43"/>
        <v>5134</v>
      </c>
      <c r="BG15">
        <f t="shared" si="44"/>
        <v>5747.6900000000005</v>
      </c>
      <c r="BH15">
        <f t="shared" si="45"/>
        <v>5436</v>
      </c>
      <c r="BI15">
        <f t="shared" si="46"/>
        <v>6049.6900000000005</v>
      </c>
      <c r="BJ15">
        <f t="shared" si="47"/>
        <v>6040</v>
      </c>
      <c r="BK15">
        <v>613.69</v>
      </c>
      <c r="BL15" s="38">
        <f t="shared" si="48"/>
        <v>2750.1</v>
      </c>
      <c r="BM15" s="33">
        <f t="shared" si="49"/>
        <v>3250</v>
      </c>
      <c r="BN15" s="42">
        <f t="shared" si="50"/>
        <v>3461.25</v>
      </c>
      <c r="BO15" s="33">
        <f>'[2]Труд_по старости'!BP10</f>
        <v>2600</v>
      </c>
      <c r="BP15" s="33">
        <f t="shared" si="51"/>
        <v>500</v>
      </c>
      <c r="BQ15" s="78">
        <f t="shared" si="52"/>
        <v>2420</v>
      </c>
      <c r="BR15" s="33">
        <f t="shared" si="53"/>
        <v>320</v>
      </c>
      <c r="BS15" s="33">
        <f>'[2]Труд_по старости'!BT10</f>
        <v>2990</v>
      </c>
      <c r="BT15" s="38">
        <f t="shared" si="54"/>
        <v>390</v>
      </c>
    </row>
    <row r="16" spans="1:72" ht="12.75">
      <c r="A16" s="34" t="s">
        <v>76</v>
      </c>
      <c r="B16" s="42">
        <v>900</v>
      </c>
      <c r="C16" s="42">
        <f t="shared" si="0"/>
        <v>958.5</v>
      </c>
      <c r="D16" s="42">
        <f t="shared" si="1"/>
        <v>1044.77</v>
      </c>
      <c r="E16" s="42">
        <f t="shared" si="2"/>
        <v>62.690000000000055</v>
      </c>
      <c r="F16" s="42">
        <f t="shared" si="3"/>
        <v>1107.46</v>
      </c>
      <c r="G16" s="42">
        <f t="shared" si="4"/>
        <v>1196.06</v>
      </c>
      <c r="H16" s="42">
        <f t="shared" si="5"/>
        <v>151.28999999999996</v>
      </c>
      <c r="I16" s="42">
        <f t="shared" si="6"/>
        <v>1242.02</v>
      </c>
      <c r="J16" s="42">
        <f t="shared" si="7"/>
        <v>45.960000000000036</v>
      </c>
      <c r="K16" s="33">
        <f t="shared" si="8"/>
        <v>1320.02</v>
      </c>
      <c r="L16" s="42">
        <f t="shared" si="9"/>
        <v>123.96000000000004</v>
      </c>
      <c r="M16" s="33">
        <f t="shared" si="10"/>
        <v>1800.03</v>
      </c>
      <c r="N16" s="33">
        <f t="shared" si="11"/>
        <v>480.01</v>
      </c>
      <c r="O16" s="33">
        <v>1800</v>
      </c>
      <c r="P16" s="79">
        <f t="shared" si="12"/>
        <v>479.98</v>
      </c>
      <c r="Q16" s="80">
        <f t="shared" si="13"/>
        <v>2070</v>
      </c>
      <c r="R16" s="79">
        <f t="shared" si="14"/>
        <v>2484</v>
      </c>
      <c r="S16" s="79">
        <f t="shared" si="15"/>
        <v>3600</v>
      </c>
      <c r="T16" s="33">
        <f t="shared" si="16"/>
        <v>662</v>
      </c>
      <c r="U16" s="38">
        <f t="shared" si="17"/>
        <v>960</v>
      </c>
      <c r="V16">
        <f t="shared" si="18"/>
        <v>662</v>
      </c>
      <c r="W16" s="38">
        <f t="shared" si="19"/>
        <v>1908</v>
      </c>
      <c r="X16" s="33">
        <f>ROUND(W16*'[1]старость_доплаты2008'!$C$2*'[1]старость_доплаты2008'!$D$2,0)</f>
        <v>2704</v>
      </c>
      <c r="Y16" s="33"/>
      <c r="Z16" s="72">
        <f>X16+Y$12</f>
        <v>3950.7555488</v>
      </c>
      <c r="AA16" s="44">
        <f t="shared" si="20"/>
        <v>2022.48</v>
      </c>
      <c r="AB16" s="51">
        <f t="shared" si="21"/>
        <v>2070.18</v>
      </c>
      <c r="AC16" s="51">
        <f t="shared" si="22"/>
        <v>114.48000000000002</v>
      </c>
      <c r="AD16" s="51">
        <f t="shared" si="23"/>
        <v>162.17999999999984</v>
      </c>
      <c r="AE16" s="33">
        <f t="shared" si="24"/>
        <v>2225.44</v>
      </c>
      <c r="AF16" s="42">
        <f t="shared" si="25"/>
        <v>155.26000000000022</v>
      </c>
      <c r="AG16" s="33">
        <v>2520</v>
      </c>
      <c r="AH16" s="33">
        <f t="shared" si="26"/>
        <v>294.55999999999995</v>
      </c>
      <c r="AI16" s="42">
        <f t="shared" si="27"/>
        <v>449.82000000000016</v>
      </c>
      <c r="AJ16" s="42">
        <f t="shared" si="28"/>
        <v>2696.4</v>
      </c>
      <c r="AK16" s="33">
        <v>2658.6</v>
      </c>
      <c r="AL16" s="38">
        <f t="shared" si="29"/>
        <v>3090</v>
      </c>
      <c r="AM16" s="38">
        <v>3048</v>
      </c>
      <c r="AN16" s="38">
        <v>3215.64</v>
      </c>
      <c r="AO16" s="38">
        <v>3624</v>
      </c>
      <c r="AP16" s="38">
        <v>3343.88</v>
      </c>
      <c r="AQ16" s="39">
        <f t="shared" si="30"/>
        <v>5613.790000000001</v>
      </c>
      <c r="AR16">
        <f t="shared" si="31"/>
        <v>4167.599999999999</v>
      </c>
      <c r="AS16">
        <v>613.69</v>
      </c>
      <c r="AT16" s="77">
        <v>1376.1</v>
      </c>
      <c r="AU16">
        <f t="shared" si="32"/>
        <v>6157.389999999999</v>
      </c>
      <c r="AV16">
        <f t="shared" si="33"/>
        <v>4348.8</v>
      </c>
      <c r="AW16">
        <f t="shared" si="34"/>
        <v>6338.59</v>
      </c>
      <c r="AX16">
        <f t="shared" si="35"/>
        <v>4711.2</v>
      </c>
      <c r="AY16">
        <f t="shared" si="36"/>
        <v>5324.889999999999</v>
      </c>
      <c r="AZ16">
        <f t="shared" si="37"/>
        <v>5073.599999999999</v>
      </c>
      <c r="BA16">
        <f t="shared" si="38"/>
        <v>5687.289999999999</v>
      </c>
      <c r="BB16">
        <f t="shared" si="39"/>
        <v>5436</v>
      </c>
      <c r="BC16">
        <f t="shared" si="40"/>
        <v>6049.6900000000005</v>
      </c>
      <c r="BD16">
        <f t="shared" si="41"/>
        <v>5798.400000000001</v>
      </c>
      <c r="BE16">
        <f t="shared" si="42"/>
        <v>6412.09</v>
      </c>
      <c r="BF16">
        <f t="shared" si="43"/>
        <v>6160.8</v>
      </c>
      <c r="BG16">
        <f t="shared" si="44"/>
        <v>6774.49</v>
      </c>
      <c r="BH16">
        <f t="shared" si="45"/>
        <v>6523.2</v>
      </c>
      <c r="BI16">
        <f t="shared" si="46"/>
        <v>7136.889999999999</v>
      </c>
      <c r="BJ16">
        <f t="shared" si="47"/>
        <v>7248</v>
      </c>
      <c r="BK16">
        <v>613.69</v>
      </c>
      <c r="BL16" s="38">
        <f t="shared" si="48"/>
        <v>3300.12</v>
      </c>
      <c r="BM16" s="33">
        <f t="shared" si="49"/>
        <v>3900</v>
      </c>
      <c r="BN16" s="42">
        <f t="shared" si="50"/>
        <v>4153.5</v>
      </c>
      <c r="BO16" s="33">
        <f>'[2]Труд_по старости'!BP11</f>
        <v>3120</v>
      </c>
      <c r="BP16" s="33">
        <f t="shared" si="51"/>
        <v>600</v>
      </c>
      <c r="BQ16" s="78">
        <f t="shared" si="52"/>
        <v>2904</v>
      </c>
      <c r="BR16" s="33">
        <f t="shared" si="53"/>
        <v>384</v>
      </c>
      <c r="BS16" s="33">
        <f>'[2]Труд_по старости'!BT11</f>
        <v>3588</v>
      </c>
      <c r="BT16" s="38">
        <f t="shared" si="54"/>
        <v>468</v>
      </c>
    </row>
    <row r="17" spans="1:72" ht="12.75">
      <c r="A17" s="32" t="s">
        <v>91</v>
      </c>
      <c r="B17" s="42"/>
      <c r="C17" s="42">
        <f t="shared" si="0"/>
        <v>0</v>
      </c>
      <c r="D17" s="42">
        <f t="shared" si="1"/>
        <v>0</v>
      </c>
      <c r="E17" s="42">
        <f t="shared" si="2"/>
        <v>0</v>
      </c>
      <c r="F17" s="42">
        <f t="shared" si="3"/>
        <v>0</v>
      </c>
      <c r="G17" s="42">
        <f t="shared" si="4"/>
        <v>0</v>
      </c>
      <c r="H17" s="42">
        <f t="shared" si="5"/>
        <v>0</v>
      </c>
      <c r="I17" s="42">
        <f t="shared" si="6"/>
        <v>0</v>
      </c>
      <c r="J17" s="42">
        <f t="shared" si="7"/>
        <v>0</v>
      </c>
      <c r="K17" s="33">
        <f t="shared" si="8"/>
        <v>0</v>
      </c>
      <c r="L17" s="42">
        <f t="shared" si="9"/>
        <v>0</v>
      </c>
      <c r="M17" s="33">
        <f t="shared" si="10"/>
        <v>0</v>
      </c>
      <c r="N17" s="33">
        <f t="shared" si="11"/>
        <v>0</v>
      </c>
      <c r="O17" s="33"/>
      <c r="P17" s="48">
        <f t="shared" si="12"/>
        <v>0</v>
      </c>
      <c r="Q17" s="47">
        <f t="shared" si="13"/>
        <v>0</v>
      </c>
      <c r="R17" s="48">
        <f t="shared" si="14"/>
        <v>0</v>
      </c>
      <c r="S17" s="48">
        <f t="shared" si="15"/>
        <v>0</v>
      </c>
      <c r="T17" s="33">
        <f t="shared" si="16"/>
        <v>0</v>
      </c>
      <c r="U17" s="38">
        <f t="shared" si="17"/>
        <v>0</v>
      </c>
      <c r="V17">
        <f t="shared" si="18"/>
        <v>0</v>
      </c>
      <c r="W17" s="38">
        <f t="shared" si="19"/>
        <v>0</v>
      </c>
      <c r="X17" s="33">
        <f>ROUND(W17*'[1]старость_доплаты2008'!$C$2*'[1]старость_доплаты2008'!$D$2,0)</f>
        <v>0</v>
      </c>
      <c r="Y17" s="81">
        <f>800*1.06*'[1]старость_доплаты2008'!$C$4*'[1]старость_доплаты2008'!$D$4</f>
        <v>997.4044390399998</v>
      </c>
      <c r="Z17" s="33"/>
      <c r="AA17" s="44">
        <f t="shared" si="20"/>
        <v>0</v>
      </c>
      <c r="AB17" s="51">
        <f t="shared" si="21"/>
        <v>0</v>
      </c>
      <c r="AC17" s="51">
        <f t="shared" si="22"/>
        <v>0</v>
      </c>
      <c r="AD17" s="51">
        <f t="shared" si="23"/>
        <v>0</v>
      </c>
      <c r="AE17" s="33">
        <f t="shared" si="24"/>
        <v>0</v>
      </c>
      <c r="AF17" s="42">
        <f t="shared" si="25"/>
        <v>0</v>
      </c>
      <c r="AG17" s="34"/>
      <c r="AH17" s="33">
        <f t="shared" si="26"/>
        <v>0</v>
      </c>
      <c r="AI17" s="42">
        <f t="shared" si="27"/>
        <v>0</v>
      </c>
      <c r="AJ17" s="42">
        <f t="shared" si="28"/>
        <v>0</v>
      </c>
      <c r="AK17" s="34"/>
      <c r="AL17" s="38">
        <f t="shared" si="29"/>
        <v>0</v>
      </c>
      <c r="AM17" s="35"/>
      <c r="AN17" s="35"/>
      <c r="AO17" s="35"/>
      <c r="AP17" s="35"/>
      <c r="AQ17" s="39">
        <f t="shared" si="30"/>
        <v>0</v>
      </c>
      <c r="AR17">
        <f t="shared" si="31"/>
        <v>0</v>
      </c>
      <c r="AU17">
        <f t="shared" si="32"/>
        <v>0</v>
      </c>
      <c r="AV17">
        <f t="shared" si="33"/>
        <v>0</v>
      </c>
      <c r="AW17">
        <f t="shared" si="34"/>
        <v>0</v>
      </c>
      <c r="AX17">
        <f t="shared" si="35"/>
        <v>0</v>
      </c>
      <c r="AY17">
        <f t="shared" si="36"/>
        <v>0</v>
      </c>
      <c r="AZ17">
        <f t="shared" si="37"/>
        <v>0</v>
      </c>
      <c r="BA17">
        <f t="shared" si="38"/>
        <v>0</v>
      </c>
      <c r="BB17">
        <f t="shared" si="39"/>
        <v>0</v>
      </c>
      <c r="BC17">
        <f t="shared" si="40"/>
        <v>0</v>
      </c>
      <c r="BD17">
        <f t="shared" si="41"/>
        <v>0</v>
      </c>
      <c r="BE17">
        <f t="shared" si="42"/>
        <v>0</v>
      </c>
      <c r="BF17">
        <f t="shared" si="43"/>
        <v>0</v>
      </c>
      <c r="BG17">
        <f t="shared" si="44"/>
        <v>0</v>
      </c>
      <c r="BH17">
        <f t="shared" si="45"/>
        <v>0</v>
      </c>
      <c r="BI17">
        <f t="shared" si="46"/>
        <v>0</v>
      </c>
      <c r="BJ17">
        <f t="shared" si="47"/>
        <v>0</v>
      </c>
      <c r="BL17" s="38">
        <f t="shared" si="48"/>
        <v>0</v>
      </c>
      <c r="BM17" s="33">
        <f t="shared" si="49"/>
        <v>0</v>
      </c>
      <c r="BN17" s="42">
        <f t="shared" si="50"/>
        <v>0</v>
      </c>
      <c r="BO17" s="33"/>
      <c r="BP17" s="33">
        <f t="shared" si="51"/>
        <v>0</v>
      </c>
      <c r="BQ17" s="78">
        <f t="shared" si="52"/>
        <v>0</v>
      </c>
      <c r="BR17" s="33">
        <f t="shared" si="53"/>
        <v>0</v>
      </c>
      <c r="BS17" s="33"/>
      <c r="BT17" s="38">
        <f t="shared" si="54"/>
        <v>0</v>
      </c>
    </row>
    <row r="18" spans="1:72" ht="12.75">
      <c r="A18" s="34" t="s">
        <v>73</v>
      </c>
      <c r="B18" s="42">
        <v>225</v>
      </c>
      <c r="C18" s="42">
        <f t="shared" si="0"/>
        <v>239.63</v>
      </c>
      <c r="D18" s="42">
        <f t="shared" si="1"/>
        <v>261.2</v>
      </c>
      <c r="E18" s="42">
        <f t="shared" si="2"/>
        <v>15.670000000000016</v>
      </c>
      <c r="F18" s="42">
        <f t="shared" si="3"/>
        <v>276.87</v>
      </c>
      <c r="G18" s="42">
        <f t="shared" si="4"/>
        <v>299.02</v>
      </c>
      <c r="H18" s="42">
        <f t="shared" si="5"/>
        <v>37.81999999999999</v>
      </c>
      <c r="I18" s="42">
        <f t="shared" si="6"/>
        <v>310.51</v>
      </c>
      <c r="J18" s="42">
        <f t="shared" si="7"/>
        <v>11.490000000000009</v>
      </c>
      <c r="K18" s="45">
        <f t="shared" si="8"/>
        <v>330.01</v>
      </c>
      <c r="L18" s="75">
        <f t="shared" si="9"/>
        <v>30.99000000000001</v>
      </c>
      <c r="M18" s="45">
        <f t="shared" si="10"/>
        <v>450.01</v>
      </c>
      <c r="N18" s="49">
        <f t="shared" si="11"/>
        <v>120</v>
      </c>
      <c r="O18" s="45">
        <v>450</v>
      </c>
      <c r="P18" s="48">
        <f t="shared" si="12"/>
        <v>119.99000000000001</v>
      </c>
      <c r="Q18" s="47">
        <f t="shared" si="13"/>
        <v>517.5</v>
      </c>
      <c r="R18" s="48">
        <f t="shared" si="14"/>
        <v>621</v>
      </c>
      <c r="S18" s="48">
        <f t="shared" si="15"/>
        <v>900</v>
      </c>
      <c r="T18" s="49">
        <f t="shared" si="16"/>
        <v>166</v>
      </c>
      <c r="U18" s="76">
        <f t="shared" si="17"/>
        <v>240</v>
      </c>
      <c r="V18">
        <f t="shared" si="18"/>
        <v>166</v>
      </c>
      <c r="W18" s="38">
        <f t="shared" si="19"/>
        <v>477</v>
      </c>
      <c r="X18" s="33">
        <f>ROUND(W18*'[1]старость_доплаты2008'!$C$2*'[1]старость_доплаты2008'!$D$2,0)</f>
        <v>676</v>
      </c>
      <c r="Y18" s="34"/>
      <c r="Z18" s="72">
        <f>X18+Y$17</f>
        <v>1673.40443904</v>
      </c>
      <c r="AA18" s="44">
        <f t="shared" si="20"/>
        <v>505.62</v>
      </c>
      <c r="AB18" s="51">
        <f t="shared" si="21"/>
        <v>517.545</v>
      </c>
      <c r="AC18" s="51">
        <f t="shared" si="22"/>
        <v>28.620000000000005</v>
      </c>
      <c r="AD18" s="51">
        <f t="shared" si="23"/>
        <v>40.54499999999996</v>
      </c>
      <c r="AE18" s="33">
        <f t="shared" si="24"/>
        <v>556.36</v>
      </c>
      <c r="AF18" s="42">
        <f t="shared" si="25"/>
        <v>38.815000000000055</v>
      </c>
      <c r="AG18" s="33">
        <f>AG13/2</f>
        <v>630</v>
      </c>
      <c r="AH18" s="33">
        <f t="shared" si="26"/>
        <v>73.63999999999999</v>
      </c>
      <c r="AI18" s="42">
        <f t="shared" si="27"/>
        <v>112.45500000000004</v>
      </c>
      <c r="AJ18" s="42">
        <f t="shared" si="28"/>
        <v>674.1</v>
      </c>
      <c r="AK18" s="33">
        <f>ROUND(AG18*1.055,2)</f>
        <v>664.65</v>
      </c>
      <c r="AL18" s="38">
        <f t="shared" si="29"/>
        <v>772.5</v>
      </c>
      <c r="AM18" s="38">
        <f>ROUND(AK18*AM$8/AK$8,2)</f>
        <v>762</v>
      </c>
      <c r="AN18" s="38">
        <f>ROUND(AM18*1.055,2)</f>
        <v>803.91</v>
      </c>
      <c r="AO18" s="38">
        <f>ROUND(AN18*AO$8/AN$8,2)</f>
        <v>906</v>
      </c>
      <c r="AP18" s="38">
        <f>ROUND((AM18*3+AN18*4+AO18*5)/12,2)</f>
        <v>835.97</v>
      </c>
      <c r="AQ18" s="39">
        <f t="shared" si="30"/>
        <v>3278.08</v>
      </c>
      <c r="AR18">
        <f t="shared" si="31"/>
        <v>1041.8999999999999</v>
      </c>
      <c r="AS18">
        <v>1271.2</v>
      </c>
      <c r="AT18" s="77">
        <v>1100.88</v>
      </c>
      <c r="AU18">
        <f t="shared" si="32"/>
        <v>3413.98</v>
      </c>
      <c r="AV18">
        <f t="shared" si="33"/>
        <v>1087.2</v>
      </c>
      <c r="AW18">
        <f t="shared" si="34"/>
        <v>3459.28</v>
      </c>
      <c r="AX18">
        <f t="shared" si="35"/>
        <v>1177.8</v>
      </c>
      <c r="AY18">
        <f t="shared" si="36"/>
        <v>2449</v>
      </c>
      <c r="AZ18">
        <f t="shared" si="37"/>
        <v>1268.3999999999999</v>
      </c>
      <c r="BA18">
        <f t="shared" si="38"/>
        <v>2539.6</v>
      </c>
      <c r="BB18">
        <f t="shared" si="39"/>
        <v>1359</v>
      </c>
      <c r="BC18">
        <f t="shared" si="40"/>
        <v>2630.2</v>
      </c>
      <c r="BD18">
        <f t="shared" si="41"/>
        <v>1449.6000000000001</v>
      </c>
      <c r="BE18">
        <f t="shared" si="42"/>
        <v>2720.8</v>
      </c>
      <c r="BF18">
        <f t="shared" si="43"/>
        <v>1540.2</v>
      </c>
      <c r="BG18">
        <f t="shared" si="44"/>
        <v>2811.4</v>
      </c>
      <c r="BH18">
        <f t="shared" si="45"/>
        <v>1630.8</v>
      </c>
      <c r="BI18">
        <f t="shared" si="46"/>
        <v>2902</v>
      </c>
      <c r="BJ18">
        <f t="shared" si="47"/>
        <v>1812</v>
      </c>
      <c r="BK18">
        <v>1271.2</v>
      </c>
      <c r="BL18" s="38">
        <f t="shared" si="48"/>
        <v>825.03</v>
      </c>
      <c r="BM18" s="33">
        <f t="shared" si="49"/>
        <v>975</v>
      </c>
      <c r="BN18" s="42">
        <f t="shared" si="50"/>
        <v>1038.38</v>
      </c>
      <c r="BO18" s="33">
        <f>BO13/2</f>
        <v>780</v>
      </c>
      <c r="BP18" s="33">
        <f t="shared" si="51"/>
        <v>150</v>
      </c>
      <c r="BQ18" s="78">
        <f t="shared" si="52"/>
        <v>726</v>
      </c>
      <c r="BR18" s="33">
        <f t="shared" si="53"/>
        <v>96</v>
      </c>
      <c r="BS18" s="33">
        <f>1/2*BS13</f>
        <v>897</v>
      </c>
      <c r="BT18" s="38">
        <f t="shared" si="54"/>
        <v>117</v>
      </c>
    </row>
    <row r="19" spans="1:72" ht="12.75">
      <c r="A19" s="34" t="s">
        <v>74</v>
      </c>
      <c r="B19" s="42">
        <v>375</v>
      </c>
      <c r="C19" s="42">
        <f t="shared" si="0"/>
        <v>399.38</v>
      </c>
      <c r="D19" s="42">
        <f t="shared" si="1"/>
        <v>435.32</v>
      </c>
      <c r="E19" s="42">
        <f t="shared" si="2"/>
        <v>26.120000000000005</v>
      </c>
      <c r="F19" s="42">
        <f t="shared" si="3"/>
        <v>461.44</v>
      </c>
      <c r="G19" s="42">
        <f t="shared" si="4"/>
        <v>498.36</v>
      </c>
      <c r="H19" s="42">
        <f t="shared" si="5"/>
        <v>63.04000000000002</v>
      </c>
      <c r="I19" s="42">
        <f t="shared" si="6"/>
        <v>517.51</v>
      </c>
      <c r="J19" s="42">
        <f t="shared" si="7"/>
        <v>19.149999999999977</v>
      </c>
      <c r="K19" s="33">
        <f t="shared" si="8"/>
        <v>550.01</v>
      </c>
      <c r="L19" s="42">
        <f t="shared" si="9"/>
        <v>51.64999999999998</v>
      </c>
      <c r="M19" s="33">
        <f t="shared" si="10"/>
        <v>750.01</v>
      </c>
      <c r="N19" s="33">
        <f t="shared" si="11"/>
        <v>200</v>
      </c>
      <c r="O19" s="33">
        <v>750</v>
      </c>
      <c r="P19" s="79">
        <f t="shared" si="12"/>
        <v>199.99</v>
      </c>
      <c r="Q19" s="80">
        <f t="shared" si="13"/>
        <v>862.5</v>
      </c>
      <c r="R19" s="79">
        <f t="shared" si="14"/>
        <v>1035</v>
      </c>
      <c r="S19" s="79">
        <f t="shared" si="15"/>
        <v>1500</v>
      </c>
      <c r="T19" s="33">
        <f t="shared" si="16"/>
        <v>276</v>
      </c>
      <c r="U19" s="38">
        <f t="shared" si="17"/>
        <v>400</v>
      </c>
      <c r="V19">
        <f t="shared" si="18"/>
        <v>276</v>
      </c>
      <c r="W19" s="38">
        <f t="shared" si="19"/>
        <v>795</v>
      </c>
      <c r="X19" s="33">
        <f>ROUND(W19*'[1]старость_доплаты2008'!$C$2*'[1]старость_доплаты2008'!$D$2,0)</f>
        <v>1127</v>
      </c>
      <c r="Y19" s="34"/>
      <c r="Z19" s="72">
        <f>X19+Y$17</f>
        <v>2124.40443904</v>
      </c>
      <c r="AA19" s="44">
        <f t="shared" si="20"/>
        <v>842.7</v>
      </c>
      <c r="AB19" s="51">
        <f t="shared" si="21"/>
        <v>862.5749999999999</v>
      </c>
      <c r="AC19" s="51">
        <f t="shared" si="22"/>
        <v>47.700000000000045</v>
      </c>
      <c r="AD19" s="51">
        <f t="shared" si="23"/>
        <v>67.57499999999993</v>
      </c>
      <c r="AE19" s="33">
        <f t="shared" si="24"/>
        <v>927.27</v>
      </c>
      <c r="AF19" s="42">
        <f t="shared" si="25"/>
        <v>64.69500000000005</v>
      </c>
      <c r="AG19" s="33">
        <v>1050</v>
      </c>
      <c r="AH19" s="33">
        <f t="shared" si="26"/>
        <v>122.73000000000002</v>
      </c>
      <c r="AI19" s="42">
        <f t="shared" si="27"/>
        <v>187.42500000000007</v>
      </c>
      <c r="AJ19" s="42">
        <f t="shared" si="28"/>
        <v>1123.5</v>
      </c>
      <c r="AK19" s="33">
        <f>ROUND(AG19*1.055,2)</f>
        <v>1107.75</v>
      </c>
      <c r="AL19" s="38">
        <f t="shared" si="29"/>
        <v>1287.5</v>
      </c>
      <c r="AM19" s="38">
        <f>ROUND(AK19*AM$8/AK$8,2)</f>
        <v>1270</v>
      </c>
      <c r="AN19" s="38">
        <f>ROUND(AM19*1.055,2)</f>
        <v>1339.85</v>
      </c>
      <c r="AO19" s="38">
        <f>ROUND(AN19*AO$8/AN$8,2)</f>
        <v>1510</v>
      </c>
      <c r="AP19" s="38">
        <f>ROUND((AM19*3+AN19*4+AO19*5)/12,2)</f>
        <v>1393.28</v>
      </c>
      <c r="AQ19" s="39">
        <f t="shared" si="30"/>
        <v>3443.7400000000002</v>
      </c>
      <c r="AR19">
        <f t="shared" si="31"/>
        <v>1736.4999999999998</v>
      </c>
      <c r="AS19">
        <v>832.86</v>
      </c>
      <c r="AT19" s="77">
        <v>1100.88</v>
      </c>
      <c r="AU19">
        <f t="shared" si="32"/>
        <v>3670.24</v>
      </c>
      <c r="AV19">
        <f t="shared" si="33"/>
        <v>1812</v>
      </c>
      <c r="AW19">
        <f t="shared" si="34"/>
        <v>3745.7400000000002</v>
      </c>
      <c r="AX19">
        <f t="shared" si="35"/>
        <v>1963</v>
      </c>
      <c r="AY19">
        <f t="shared" si="36"/>
        <v>2795.86</v>
      </c>
      <c r="AZ19">
        <f t="shared" si="37"/>
        <v>2114</v>
      </c>
      <c r="BA19">
        <f t="shared" si="38"/>
        <v>2946.86</v>
      </c>
      <c r="BB19">
        <f t="shared" si="39"/>
        <v>2265</v>
      </c>
      <c r="BC19">
        <f t="shared" si="40"/>
        <v>3097.86</v>
      </c>
      <c r="BD19">
        <f t="shared" si="41"/>
        <v>2416</v>
      </c>
      <c r="BE19">
        <f t="shared" si="42"/>
        <v>3248.86</v>
      </c>
      <c r="BF19">
        <f t="shared" si="43"/>
        <v>2567</v>
      </c>
      <c r="BG19">
        <f t="shared" si="44"/>
        <v>3399.86</v>
      </c>
      <c r="BH19">
        <f t="shared" si="45"/>
        <v>2718</v>
      </c>
      <c r="BI19">
        <f t="shared" si="46"/>
        <v>3550.86</v>
      </c>
      <c r="BJ19">
        <f t="shared" si="47"/>
        <v>3020</v>
      </c>
      <c r="BK19">
        <v>832.86</v>
      </c>
      <c r="BL19" s="38">
        <f t="shared" si="48"/>
        <v>1375.05</v>
      </c>
      <c r="BM19" s="33">
        <f t="shared" si="49"/>
        <v>1625</v>
      </c>
      <c r="BN19" s="42">
        <f t="shared" si="50"/>
        <v>1730.63</v>
      </c>
      <c r="BO19" s="33">
        <f>BO18*AG19/AG18</f>
        <v>1300</v>
      </c>
      <c r="BP19" s="33">
        <f t="shared" si="51"/>
        <v>250</v>
      </c>
      <c r="BQ19" s="78">
        <f t="shared" si="52"/>
        <v>1210</v>
      </c>
      <c r="BR19" s="33">
        <f t="shared" si="53"/>
        <v>160</v>
      </c>
      <c r="BS19" s="33">
        <f>ROUND(BS18*BO19/BO18,2)</f>
        <v>1495</v>
      </c>
      <c r="BT19" s="38">
        <f t="shared" si="54"/>
        <v>195</v>
      </c>
    </row>
    <row r="20" spans="1:72" ht="12.75">
      <c r="A20" s="34" t="s">
        <v>75</v>
      </c>
      <c r="B20" s="42">
        <v>525</v>
      </c>
      <c r="C20" s="42">
        <f t="shared" si="0"/>
        <v>559.13</v>
      </c>
      <c r="D20" s="42">
        <f t="shared" si="1"/>
        <v>609.45</v>
      </c>
      <c r="E20" s="42">
        <f t="shared" si="2"/>
        <v>36.569999999999936</v>
      </c>
      <c r="F20" s="42">
        <f t="shared" si="3"/>
        <v>646.02</v>
      </c>
      <c r="G20" s="42">
        <f t="shared" si="4"/>
        <v>697.7</v>
      </c>
      <c r="H20" s="42">
        <f t="shared" si="5"/>
        <v>88.25</v>
      </c>
      <c r="I20" s="42">
        <f t="shared" si="6"/>
        <v>724.51</v>
      </c>
      <c r="J20" s="42">
        <f t="shared" si="7"/>
        <v>26.809999999999945</v>
      </c>
      <c r="K20" s="33">
        <f t="shared" si="8"/>
        <v>770.01</v>
      </c>
      <c r="L20" s="42">
        <f t="shared" si="9"/>
        <v>72.30999999999995</v>
      </c>
      <c r="M20" s="33">
        <f t="shared" si="10"/>
        <v>1050.01</v>
      </c>
      <c r="N20" s="33">
        <f t="shared" si="11"/>
        <v>280</v>
      </c>
      <c r="O20" s="33">
        <v>1050</v>
      </c>
      <c r="P20" s="79">
        <f t="shared" si="12"/>
        <v>279.99</v>
      </c>
      <c r="Q20" s="80">
        <f t="shared" si="13"/>
        <v>1207.5</v>
      </c>
      <c r="R20" s="79">
        <f t="shared" si="14"/>
        <v>1449</v>
      </c>
      <c r="S20" s="79">
        <f t="shared" si="15"/>
        <v>2100</v>
      </c>
      <c r="T20" s="33">
        <f t="shared" si="16"/>
        <v>386</v>
      </c>
      <c r="U20" s="38">
        <f t="shared" si="17"/>
        <v>560</v>
      </c>
      <c r="V20">
        <f t="shared" si="18"/>
        <v>386</v>
      </c>
      <c r="W20" s="38">
        <f t="shared" si="19"/>
        <v>1113</v>
      </c>
      <c r="X20" s="33">
        <f>ROUND(W20*'[1]старость_доплаты2008'!$C$2*'[1]старость_доплаты2008'!$D$2,0)</f>
        <v>1577</v>
      </c>
      <c r="Y20" s="34"/>
      <c r="Z20" s="72">
        <f>X20+Y$17</f>
        <v>2574.40443904</v>
      </c>
      <c r="AA20" s="44">
        <f t="shared" si="20"/>
        <v>1179.78</v>
      </c>
      <c r="AB20" s="51">
        <f t="shared" si="21"/>
        <v>1207.605</v>
      </c>
      <c r="AC20" s="51">
        <f t="shared" si="22"/>
        <v>66.77999999999997</v>
      </c>
      <c r="AD20" s="51">
        <f t="shared" si="23"/>
        <v>94.60500000000002</v>
      </c>
      <c r="AE20" s="33">
        <f t="shared" si="24"/>
        <v>1298.18</v>
      </c>
      <c r="AF20" s="42">
        <f t="shared" si="25"/>
        <v>90.57500000000005</v>
      </c>
      <c r="AG20" s="33">
        <v>1470</v>
      </c>
      <c r="AH20" s="33">
        <f t="shared" si="26"/>
        <v>171.81999999999994</v>
      </c>
      <c r="AI20" s="42">
        <f t="shared" si="27"/>
        <v>262.395</v>
      </c>
      <c r="AJ20" s="42">
        <f t="shared" si="28"/>
        <v>1572.9</v>
      </c>
      <c r="AK20" s="33">
        <f>ROUND(AG20*1.055,2)</f>
        <v>1550.85</v>
      </c>
      <c r="AL20" s="38">
        <f t="shared" si="29"/>
        <v>1802.5</v>
      </c>
      <c r="AM20" s="38">
        <f>ROUND(AK20*AM$8/AK$8,2)</f>
        <v>1778</v>
      </c>
      <c r="AN20" s="38">
        <f>ROUND(AM20*1.055,2)</f>
        <v>1875.79</v>
      </c>
      <c r="AO20" s="38">
        <f>ROUND(AN20*AO$8/AN$8,2)</f>
        <v>2114</v>
      </c>
      <c r="AP20" s="38">
        <f>ROUND((AM20*3+AN20*4+AO20*5)/12,2)</f>
        <v>1950.6</v>
      </c>
      <c r="AQ20" s="39">
        <f t="shared" si="30"/>
        <v>3828.57</v>
      </c>
      <c r="AR20">
        <f t="shared" si="31"/>
        <v>2431.1</v>
      </c>
      <c r="AS20">
        <v>613.69</v>
      </c>
      <c r="AT20" s="77">
        <v>1100.88</v>
      </c>
      <c r="AU20">
        <f t="shared" si="32"/>
        <v>4145.67</v>
      </c>
      <c r="AV20">
        <f t="shared" si="33"/>
        <v>2536.7999999999997</v>
      </c>
      <c r="AW20">
        <f t="shared" si="34"/>
        <v>4251.37</v>
      </c>
      <c r="AX20">
        <f t="shared" si="35"/>
        <v>2748.2000000000003</v>
      </c>
      <c r="AY20">
        <f t="shared" si="36"/>
        <v>3361.8900000000003</v>
      </c>
      <c r="AZ20">
        <f t="shared" si="37"/>
        <v>2959.6</v>
      </c>
      <c r="BA20">
        <f t="shared" si="38"/>
        <v>3573.29</v>
      </c>
      <c r="BB20">
        <f t="shared" si="39"/>
        <v>3171</v>
      </c>
      <c r="BC20">
        <f t="shared" si="40"/>
        <v>3784.69</v>
      </c>
      <c r="BD20">
        <f t="shared" si="41"/>
        <v>3382.4</v>
      </c>
      <c r="BE20">
        <f t="shared" si="42"/>
        <v>3996.09</v>
      </c>
      <c r="BF20">
        <f t="shared" si="43"/>
        <v>3593.7999999999997</v>
      </c>
      <c r="BG20">
        <f t="shared" si="44"/>
        <v>4207.49</v>
      </c>
      <c r="BH20">
        <f t="shared" si="45"/>
        <v>3805.2000000000003</v>
      </c>
      <c r="BI20">
        <f t="shared" si="46"/>
        <v>4418.89</v>
      </c>
      <c r="BJ20">
        <f t="shared" si="47"/>
        <v>4228</v>
      </c>
      <c r="BK20">
        <v>613.69</v>
      </c>
      <c r="BL20" s="38">
        <f t="shared" si="48"/>
        <v>1925.07</v>
      </c>
      <c r="BM20" s="33">
        <f t="shared" si="49"/>
        <v>2275</v>
      </c>
      <c r="BN20" s="42">
        <f t="shared" si="50"/>
        <v>2422.88</v>
      </c>
      <c r="BO20" s="33">
        <f>BO18*AG20/AG18</f>
        <v>1820</v>
      </c>
      <c r="BP20" s="33">
        <f t="shared" si="51"/>
        <v>350</v>
      </c>
      <c r="BQ20" s="78">
        <f t="shared" si="52"/>
        <v>1694</v>
      </c>
      <c r="BR20" s="33">
        <f t="shared" si="53"/>
        <v>224</v>
      </c>
      <c r="BS20" s="33">
        <f>ROUND(BS18*BO20/BO18,2)</f>
        <v>2093</v>
      </c>
      <c r="BT20" s="38">
        <f t="shared" si="54"/>
        <v>273</v>
      </c>
    </row>
    <row r="21" spans="1:72" ht="12.75">
      <c r="A21" s="34" t="s">
        <v>76</v>
      </c>
      <c r="B21" s="42">
        <v>675</v>
      </c>
      <c r="C21" s="42">
        <f t="shared" si="0"/>
        <v>718.88</v>
      </c>
      <c r="D21" s="42">
        <f t="shared" si="1"/>
        <v>783.58</v>
      </c>
      <c r="E21" s="42">
        <f t="shared" si="2"/>
        <v>47.00999999999999</v>
      </c>
      <c r="F21" s="42">
        <f t="shared" si="3"/>
        <v>830.59</v>
      </c>
      <c r="G21" s="42">
        <f t="shared" si="4"/>
        <v>897.04</v>
      </c>
      <c r="H21" s="42">
        <f t="shared" si="5"/>
        <v>113.45999999999992</v>
      </c>
      <c r="I21" s="42">
        <f t="shared" si="6"/>
        <v>931.51</v>
      </c>
      <c r="J21" s="42">
        <f t="shared" si="7"/>
        <v>34.47000000000003</v>
      </c>
      <c r="K21" s="33">
        <f t="shared" si="8"/>
        <v>990.01</v>
      </c>
      <c r="L21" s="42">
        <f t="shared" si="9"/>
        <v>92.97000000000003</v>
      </c>
      <c r="M21" s="33">
        <f t="shared" si="10"/>
        <v>1350.01</v>
      </c>
      <c r="N21" s="33">
        <f t="shared" si="11"/>
        <v>360</v>
      </c>
      <c r="O21" s="33">
        <v>1350</v>
      </c>
      <c r="P21" s="79">
        <f t="shared" si="12"/>
        <v>359.99</v>
      </c>
      <c r="Q21" s="80">
        <f t="shared" si="13"/>
        <v>1552.5</v>
      </c>
      <c r="R21" s="79">
        <f t="shared" si="14"/>
        <v>1863</v>
      </c>
      <c r="S21" s="79">
        <f t="shared" si="15"/>
        <v>2700</v>
      </c>
      <c r="T21" s="33">
        <f t="shared" si="16"/>
        <v>497</v>
      </c>
      <c r="U21" s="38">
        <f t="shared" si="17"/>
        <v>720</v>
      </c>
      <c r="V21">
        <f t="shared" si="18"/>
        <v>497</v>
      </c>
      <c r="W21" s="38">
        <f t="shared" si="19"/>
        <v>1431</v>
      </c>
      <c r="X21" s="33">
        <f>ROUND(W21*'[1]старость_доплаты2008'!$C$2*'[1]старость_доплаты2008'!$D$2,0)</f>
        <v>2028</v>
      </c>
      <c r="Y21" s="34"/>
      <c r="Z21" s="72">
        <f>X21+Y$17</f>
        <v>3025.40443904</v>
      </c>
      <c r="AA21" s="44">
        <f t="shared" si="20"/>
        <v>1516.8600000000001</v>
      </c>
      <c r="AB21" s="51">
        <f t="shared" si="21"/>
        <v>1552.635</v>
      </c>
      <c r="AC21" s="51">
        <f t="shared" si="22"/>
        <v>85.86000000000013</v>
      </c>
      <c r="AD21" s="51">
        <f t="shared" si="23"/>
        <v>121.63499999999999</v>
      </c>
      <c r="AE21" s="33">
        <f t="shared" si="24"/>
        <v>1669.08</v>
      </c>
      <c r="AF21" s="42">
        <f t="shared" si="25"/>
        <v>116.44499999999994</v>
      </c>
      <c r="AG21" s="33">
        <v>1890</v>
      </c>
      <c r="AH21" s="33">
        <f t="shared" si="26"/>
        <v>220.92000000000007</v>
      </c>
      <c r="AI21" s="42">
        <f t="shared" si="27"/>
        <v>337.365</v>
      </c>
      <c r="AJ21" s="42">
        <f t="shared" si="28"/>
        <v>2022.3</v>
      </c>
      <c r="AK21" s="33">
        <f>ROUND(AG21*1.055,2)</f>
        <v>1993.95</v>
      </c>
      <c r="AL21" s="38">
        <f t="shared" si="29"/>
        <v>2317.5</v>
      </c>
      <c r="AM21" s="38">
        <f>ROUND(AK21*AM$8/AK$8,2)</f>
        <v>2286</v>
      </c>
      <c r="AN21" s="38">
        <f>ROUND(AM21*1.055,2)</f>
        <v>2411.73</v>
      </c>
      <c r="AO21" s="38">
        <f>ROUND(AN21*AO$8/AN$8,2)</f>
        <v>2718</v>
      </c>
      <c r="AP21" s="38">
        <f>ROUND((AM21*3+AN21*4+AO21*5)/12,2)</f>
        <v>2507.91</v>
      </c>
      <c r="AQ21" s="39">
        <f t="shared" si="30"/>
        <v>4432.57</v>
      </c>
      <c r="AR21">
        <f t="shared" si="31"/>
        <v>3125.7</v>
      </c>
      <c r="AS21">
        <f>613.69</f>
        <v>613.69</v>
      </c>
      <c r="AT21" s="77">
        <v>1100.88</v>
      </c>
      <c r="AU21">
        <f t="shared" si="32"/>
        <v>4840.27</v>
      </c>
      <c r="AV21">
        <f t="shared" si="33"/>
        <v>3261.6</v>
      </c>
      <c r="AW21">
        <f t="shared" si="34"/>
        <v>4976.17</v>
      </c>
      <c r="AX21">
        <f t="shared" si="35"/>
        <v>3533.4</v>
      </c>
      <c r="AY21">
        <f t="shared" si="36"/>
        <v>4147.09</v>
      </c>
      <c r="AZ21">
        <f t="shared" si="37"/>
        <v>3805.2</v>
      </c>
      <c r="BA21">
        <f t="shared" si="38"/>
        <v>4418.889999999999</v>
      </c>
      <c r="BB21">
        <f t="shared" si="39"/>
        <v>4077</v>
      </c>
      <c r="BC21">
        <f t="shared" si="40"/>
        <v>4690.6900000000005</v>
      </c>
      <c r="BD21">
        <f t="shared" si="41"/>
        <v>4348.8</v>
      </c>
      <c r="BE21">
        <f t="shared" si="42"/>
        <v>4962.49</v>
      </c>
      <c r="BF21">
        <f t="shared" si="43"/>
        <v>4620.599999999999</v>
      </c>
      <c r="BG21">
        <f t="shared" si="44"/>
        <v>5234.289999999999</v>
      </c>
      <c r="BH21">
        <f t="shared" si="45"/>
        <v>4892.400000000001</v>
      </c>
      <c r="BI21">
        <f t="shared" si="46"/>
        <v>5506.09</v>
      </c>
      <c r="BJ21">
        <f t="shared" si="47"/>
        <v>5436</v>
      </c>
      <c r="BK21">
        <f>613.69</f>
        <v>613.69</v>
      </c>
      <c r="BL21" s="38">
        <f t="shared" si="48"/>
        <v>2475.09</v>
      </c>
      <c r="BM21" s="33">
        <f t="shared" si="49"/>
        <v>2925</v>
      </c>
      <c r="BN21" s="42">
        <f t="shared" si="50"/>
        <v>3115.13</v>
      </c>
      <c r="BO21" s="33">
        <f>BO18*AG21/AG18</f>
        <v>2340</v>
      </c>
      <c r="BP21" s="33">
        <f t="shared" si="51"/>
        <v>450</v>
      </c>
      <c r="BQ21" s="78">
        <f t="shared" si="52"/>
        <v>2178</v>
      </c>
      <c r="BR21" s="33">
        <f t="shared" si="53"/>
        <v>288</v>
      </c>
      <c r="BS21" s="33">
        <f>ROUND(BS18*BO21/BO18,2)</f>
        <v>2691</v>
      </c>
      <c r="BT21" s="38">
        <f t="shared" si="54"/>
        <v>351</v>
      </c>
    </row>
    <row r="22" spans="1:72" ht="12.7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3">
        <f t="shared" si="8"/>
        <v>0</v>
      </c>
      <c r="L22" s="54">
        <f t="shared" si="9"/>
        <v>0</v>
      </c>
      <c r="M22" s="53">
        <f t="shared" si="10"/>
        <v>0</v>
      </c>
      <c r="N22" s="59">
        <f t="shared" si="11"/>
        <v>0</v>
      </c>
      <c r="O22" s="53"/>
      <c r="P22" s="82">
        <f t="shared" si="12"/>
        <v>0</v>
      </c>
      <c r="Q22" s="7"/>
      <c r="R22" s="7"/>
      <c r="S22" s="7"/>
      <c r="T22" s="59">
        <f t="shared" si="16"/>
        <v>0</v>
      </c>
      <c r="U22" s="7">
        <f t="shared" si="17"/>
        <v>0</v>
      </c>
      <c r="V22">
        <f t="shared" si="18"/>
        <v>0</v>
      </c>
      <c r="W22" s="60">
        <f t="shared" si="19"/>
        <v>0</v>
      </c>
      <c r="X22" s="59">
        <f>ROUND(W22*'[1]старость_доплаты2008'!$C$2*'[1]старость_доплаты2008'!$D$2,0)</f>
        <v>0</v>
      </c>
      <c r="Y22" s="53"/>
      <c r="Z22" s="53"/>
      <c r="AA22" s="55">
        <f t="shared" si="20"/>
        <v>0</v>
      </c>
      <c r="AB22" s="57">
        <f t="shared" si="21"/>
        <v>0</v>
      </c>
      <c r="AC22" s="58">
        <f t="shared" si="22"/>
        <v>0</v>
      </c>
      <c r="AD22" s="58">
        <f t="shared" si="23"/>
        <v>0</v>
      </c>
      <c r="AE22" s="59">
        <f t="shared" si="24"/>
        <v>0</v>
      </c>
      <c r="AF22" s="54">
        <f t="shared" si="25"/>
        <v>0</v>
      </c>
      <c r="AG22" s="53"/>
      <c r="AH22" s="59">
        <f t="shared" si="26"/>
        <v>0</v>
      </c>
      <c r="AI22" s="54">
        <f t="shared" si="27"/>
        <v>0</v>
      </c>
      <c r="AJ22" s="54"/>
      <c r="AK22" s="59">
        <f>ROUND(AG22*1.055,2)</f>
        <v>0</v>
      </c>
      <c r="AL22" s="60"/>
      <c r="AM22" s="60">
        <f>ROUND(AK22*AM$8/AK$8,2)</f>
        <v>0</v>
      </c>
      <c r="AN22" s="60">
        <f>ROUND(AM22*1.055,2)</f>
        <v>0</v>
      </c>
      <c r="AO22" s="7"/>
      <c r="AP22" s="7"/>
      <c r="AQ22" s="39">
        <f t="shared" si="30"/>
        <v>0</v>
      </c>
      <c r="AR22">
        <f t="shared" si="31"/>
        <v>0</v>
      </c>
      <c r="BL22" s="60">
        <f t="shared" si="48"/>
        <v>0</v>
      </c>
      <c r="BM22" s="59">
        <f t="shared" si="49"/>
        <v>0</v>
      </c>
      <c r="BN22" s="53">
        <f t="shared" si="50"/>
        <v>0</v>
      </c>
      <c r="BO22" s="53"/>
      <c r="BP22" s="53">
        <f t="shared" si="51"/>
        <v>0</v>
      </c>
      <c r="BQ22" s="83">
        <f t="shared" si="52"/>
        <v>0</v>
      </c>
      <c r="BR22" s="53">
        <f t="shared" si="53"/>
        <v>0</v>
      </c>
      <c r="BS22" s="59"/>
      <c r="BT22" s="60">
        <f t="shared" si="54"/>
        <v>0</v>
      </c>
    </row>
    <row r="23" spans="2:66" s="73" customFormat="1" ht="12.75">
      <c r="B23" s="84"/>
      <c r="C23" s="84"/>
      <c r="D23" s="84"/>
      <c r="E23" s="84"/>
      <c r="F23" s="84"/>
      <c r="G23" s="84"/>
      <c r="H23" s="84"/>
      <c r="I23" s="84"/>
      <c r="J23" s="84"/>
      <c r="K23" s="85"/>
      <c r="L23" s="85"/>
      <c r="M23" s="85"/>
      <c r="N23" s="85"/>
      <c r="AA23" s="62">
        <f t="shared" si="20"/>
        <v>0</v>
      </c>
      <c r="AB23" s="62">
        <f t="shared" si="21"/>
        <v>0</v>
      </c>
      <c r="AC23" s="86">
        <f t="shared" si="22"/>
        <v>0</v>
      </c>
      <c r="AD23" s="86">
        <f t="shared" si="23"/>
        <v>0</v>
      </c>
      <c r="AE23">
        <f t="shared" si="24"/>
        <v>0</v>
      </c>
      <c r="AF23" s="62">
        <f t="shared" si="25"/>
        <v>0</v>
      </c>
      <c r="AH23" s="8">
        <f t="shared" si="26"/>
        <v>0</v>
      </c>
      <c r="AI23" s="62">
        <f t="shared" si="27"/>
        <v>0</v>
      </c>
      <c r="AJ23" s="62"/>
      <c r="AR23">
        <f t="shared" si="31"/>
        <v>0</v>
      </c>
      <c r="BN23">
        <f t="shared" si="50"/>
        <v>0</v>
      </c>
    </row>
    <row r="24" spans="1:66" s="73" customFormat="1" ht="12.75">
      <c r="A24" s="87" t="s">
        <v>92</v>
      </c>
      <c r="B24" s="84"/>
      <c r="C24" s="84"/>
      <c r="D24" s="84"/>
      <c r="E24" s="84"/>
      <c r="F24" s="84"/>
      <c r="G24" s="84"/>
      <c r="H24" s="84"/>
      <c r="I24" s="84"/>
      <c r="J24" s="84"/>
      <c r="K24" s="85"/>
      <c r="L24" s="85"/>
      <c r="M24" s="85"/>
      <c r="N24" s="85"/>
      <c r="AA24" s="62">
        <f t="shared" si="20"/>
        <v>0</v>
      </c>
      <c r="AB24" s="62">
        <f t="shared" si="21"/>
        <v>0</v>
      </c>
      <c r="AC24" s="86">
        <f t="shared" si="22"/>
        <v>0</v>
      </c>
      <c r="AD24" s="86">
        <f t="shared" si="23"/>
        <v>0</v>
      </c>
      <c r="AE24">
        <f t="shared" si="24"/>
        <v>0</v>
      </c>
      <c r="AF24" s="62">
        <f t="shared" si="25"/>
        <v>0</v>
      </c>
      <c r="AH24" s="8">
        <f t="shared" si="26"/>
        <v>0</v>
      </c>
      <c r="AI24" s="62">
        <f t="shared" si="27"/>
        <v>0</v>
      </c>
      <c r="AJ24" s="62"/>
      <c r="AR24">
        <f t="shared" si="31"/>
        <v>0</v>
      </c>
      <c r="BN24">
        <f t="shared" si="50"/>
        <v>0</v>
      </c>
    </row>
    <row r="25" spans="2:70" s="73" customFormat="1" ht="12.75">
      <c r="B25" s="84"/>
      <c r="C25" s="84"/>
      <c r="D25" s="84"/>
      <c r="E25" s="84"/>
      <c r="F25" s="84"/>
      <c r="G25" s="39"/>
      <c r="H25" s="84"/>
      <c r="I25" s="39"/>
      <c r="J25" s="88" t="s">
        <v>6</v>
      </c>
      <c r="K25" s="85"/>
      <c r="L25" s="85"/>
      <c r="M25" s="85"/>
      <c r="N25" s="85"/>
      <c r="O25" s="5"/>
      <c r="P25" s="5"/>
      <c r="Q25" s="5"/>
      <c r="R25" s="6" t="s">
        <v>7</v>
      </c>
      <c r="S25" s="5"/>
      <c r="T25" t="s">
        <v>8</v>
      </c>
      <c r="U25"/>
      <c r="AA25" s="7" t="s">
        <v>9</v>
      </c>
      <c r="AB25" s="8"/>
      <c r="AC25" t="s">
        <v>10</v>
      </c>
      <c r="AD25"/>
      <c r="AE25">
        <f t="shared" si="24"/>
        <v>0</v>
      </c>
      <c r="AF25" s="62">
        <f t="shared" si="25"/>
        <v>0</v>
      </c>
      <c r="AH25" s="8">
        <f t="shared" si="26"/>
        <v>0</v>
      </c>
      <c r="AI25" s="62">
        <f t="shared" si="27"/>
        <v>0</v>
      </c>
      <c r="AJ25" s="62"/>
      <c r="AR25">
        <f t="shared" si="31"/>
        <v>0</v>
      </c>
      <c r="BN25">
        <f t="shared" si="50"/>
        <v>0</v>
      </c>
      <c r="BQ25" t="s">
        <v>12</v>
      </c>
      <c r="BR25"/>
    </row>
    <row r="26" spans="1:72" s="73" customFormat="1" ht="38.25">
      <c r="A26" s="9" t="s">
        <v>16</v>
      </c>
      <c r="B26" s="9" t="s">
        <v>17</v>
      </c>
      <c r="C26" s="9" t="s">
        <v>18</v>
      </c>
      <c r="D26" s="9" t="s">
        <v>19</v>
      </c>
      <c r="E26" s="9" t="s">
        <v>20</v>
      </c>
      <c r="F26" s="9" t="s">
        <v>21</v>
      </c>
      <c r="G26" s="9" t="s">
        <v>22</v>
      </c>
      <c r="H26" s="9" t="s">
        <v>23</v>
      </c>
      <c r="I26" s="9" t="s">
        <v>24</v>
      </c>
      <c r="J26" s="9" t="s">
        <v>25</v>
      </c>
      <c r="K26" s="9" t="s">
        <v>26</v>
      </c>
      <c r="L26" s="9" t="s">
        <v>25</v>
      </c>
      <c r="M26" s="9" t="s">
        <v>93</v>
      </c>
      <c r="N26" s="9" t="s">
        <v>81</v>
      </c>
      <c r="O26" s="9" t="s">
        <v>82</v>
      </c>
      <c r="P26" s="10" t="s">
        <v>28</v>
      </c>
      <c r="Q26" s="10" t="s">
        <v>30</v>
      </c>
      <c r="R26" s="10" t="s">
        <v>31</v>
      </c>
      <c r="S26" s="10" t="s">
        <v>32</v>
      </c>
      <c r="T26" s="10" t="s">
        <v>31</v>
      </c>
      <c r="U26" s="10" t="s">
        <v>32</v>
      </c>
      <c r="W26" s="9" t="s">
        <v>94</v>
      </c>
      <c r="X26" s="9" t="s">
        <v>83</v>
      </c>
      <c r="AA26" s="9" t="s">
        <v>35</v>
      </c>
      <c r="AB26" s="9" t="s">
        <v>35</v>
      </c>
      <c r="AC26" s="9" t="s">
        <v>36</v>
      </c>
      <c r="AD26" s="9" t="s">
        <v>37</v>
      </c>
      <c r="AE26" s="9" t="s">
        <v>38</v>
      </c>
      <c r="AF26" s="9" t="s">
        <v>86</v>
      </c>
      <c r="AG26" s="9" t="s">
        <v>40</v>
      </c>
      <c r="AH26" s="9" t="s">
        <v>87</v>
      </c>
      <c r="AI26" s="9" t="s">
        <v>88</v>
      </c>
      <c r="AJ26" s="9" t="s">
        <v>43</v>
      </c>
      <c r="AK26" s="9" t="s">
        <v>43</v>
      </c>
      <c r="AL26" s="9" t="s">
        <v>44</v>
      </c>
      <c r="AM26" s="9" t="s">
        <v>44</v>
      </c>
      <c r="AN26" s="9" t="s">
        <v>45</v>
      </c>
      <c r="AO26" s="9" t="s">
        <v>48</v>
      </c>
      <c r="AP26" s="12" t="s">
        <v>49</v>
      </c>
      <c r="AQ26" s="64"/>
      <c r="AR26"/>
      <c r="BL26" s="9" t="s">
        <v>45</v>
      </c>
      <c r="BM26" s="9" t="s">
        <v>48</v>
      </c>
      <c r="BN26" s="9" t="s">
        <v>47</v>
      </c>
      <c r="BO26" s="9" t="s">
        <v>64</v>
      </c>
      <c r="BP26" s="12" t="s">
        <v>65</v>
      </c>
      <c r="BQ26" s="9" t="s">
        <v>66</v>
      </c>
      <c r="BR26" s="12" t="s">
        <v>67</v>
      </c>
      <c r="BS26" s="9" t="s">
        <v>68</v>
      </c>
      <c r="BT26" s="12" t="s">
        <v>69</v>
      </c>
    </row>
    <row r="27" spans="1:72" s="2" customFormat="1" ht="12.75">
      <c r="A27" s="27" t="s">
        <v>70</v>
      </c>
      <c r="B27" s="89"/>
      <c r="C27" s="21">
        <v>1.065</v>
      </c>
      <c r="D27" s="21">
        <v>1.09</v>
      </c>
      <c r="E27" s="18">
        <v>1.161</v>
      </c>
      <c r="F27" s="21">
        <v>1.06</v>
      </c>
      <c r="G27" s="17">
        <v>1.08</v>
      </c>
      <c r="H27" s="18">
        <v>1.145</v>
      </c>
      <c r="I27" s="19">
        <v>1.0384268</v>
      </c>
      <c r="J27" s="19">
        <f>I27</f>
        <v>1.0384268</v>
      </c>
      <c r="K27" s="66">
        <f>660/621</f>
        <v>1.0628019323671498</v>
      </c>
      <c r="L27" s="16">
        <f>ROUND(I27*K27,4)</f>
        <v>1.1036</v>
      </c>
      <c r="M27" s="90">
        <f>ROUND(900/660,8)</f>
        <v>1.36363636</v>
      </c>
      <c r="N27" s="91"/>
      <c r="O27" s="63">
        <v>1.36363636</v>
      </c>
      <c r="P27" s="92"/>
      <c r="Q27" s="92"/>
      <c r="R27" s="92"/>
      <c r="S27" s="92"/>
      <c r="T27" s="93"/>
      <c r="U27" s="92"/>
      <c r="V27" s="6"/>
      <c r="W27" s="26">
        <v>1.06</v>
      </c>
      <c r="X27" s="63"/>
      <c r="Y27" s="6"/>
      <c r="Z27" s="6"/>
      <c r="AA27" s="17">
        <v>1.06</v>
      </c>
      <c r="AB27" s="26">
        <v>1.085</v>
      </c>
      <c r="AC27" s="26"/>
      <c r="AD27" s="26"/>
      <c r="AE27" s="26">
        <v>1.075</v>
      </c>
      <c r="AF27" s="94"/>
      <c r="AG27" s="95">
        <f>AG6</f>
        <v>1.132360342224459</v>
      </c>
      <c r="AH27" s="96"/>
      <c r="AI27" s="94"/>
      <c r="AJ27" s="97">
        <v>1.07</v>
      </c>
      <c r="AK27" s="28">
        <v>1.055</v>
      </c>
      <c r="AL27" s="21">
        <f>AL6</f>
        <v>1.1459724076546507</v>
      </c>
      <c r="AM27" s="20">
        <f>AM6</f>
        <v>1.1464680658993456</v>
      </c>
      <c r="AN27" s="21">
        <v>1.055</v>
      </c>
      <c r="AO27" s="20">
        <f>AO6</f>
        <v>1.1269918274433706</v>
      </c>
      <c r="AP27" s="20">
        <f>AP6</f>
        <v>1.0970734908136481</v>
      </c>
      <c r="AQ27" s="98"/>
      <c r="AR27"/>
      <c r="BL27" s="99">
        <v>1.068</v>
      </c>
      <c r="BM27" s="63">
        <f>BM6</f>
        <v>1.18177521</v>
      </c>
      <c r="BN27" s="63">
        <v>1.065</v>
      </c>
      <c r="BO27" s="26">
        <f>1560/1260</f>
        <v>1.2380952380952381</v>
      </c>
      <c r="BP27" s="27"/>
      <c r="BQ27" s="26">
        <f>1452/1260</f>
        <v>1.1523809523809523</v>
      </c>
      <c r="BR27" s="27"/>
      <c r="BS27" s="17">
        <v>1.15</v>
      </c>
      <c r="BT27" s="27"/>
    </row>
    <row r="28" spans="1:72" ht="12.75">
      <c r="A28" s="34" t="s">
        <v>95</v>
      </c>
      <c r="B28" s="42">
        <v>450</v>
      </c>
      <c r="C28" s="42">
        <f>ROUND(B28*1.065,2)</f>
        <v>479.25</v>
      </c>
      <c r="D28" s="42">
        <f>ROUND(C28*1.09,2)</f>
        <v>522.38</v>
      </c>
      <c r="E28" s="42">
        <f>F28-D28</f>
        <v>31.340000000000032</v>
      </c>
      <c r="F28" s="42">
        <f>ROUND(D28*1.06,2)</f>
        <v>553.72</v>
      </c>
      <c r="G28" s="42">
        <f>ROUND(F28*1.08,2)</f>
        <v>598.02</v>
      </c>
      <c r="H28" s="42">
        <f>G28-D28</f>
        <v>75.63999999999999</v>
      </c>
      <c r="I28" s="42">
        <f>ROUND(G28*I$6,2)</f>
        <v>621</v>
      </c>
      <c r="J28" s="42">
        <f>I28-G28</f>
        <v>22.980000000000018</v>
      </c>
      <c r="K28" s="75">
        <v>660</v>
      </c>
      <c r="L28" s="75">
        <f>K28-G28</f>
        <v>61.98000000000002</v>
      </c>
      <c r="M28" s="75">
        <f>ROUND(K28*M$6,2)</f>
        <v>900</v>
      </c>
      <c r="N28" s="75">
        <f>M28-K28</f>
        <v>240</v>
      </c>
      <c r="O28" s="75">
        <v>900</v>
      </c>
      <c r="P28" s="79">
        <f>O28-K28</f>
        <v>240</v>
      </c>
      <c r="Q28" s="79">
        <f>ROUND(O28*1.15,2)</f>
        <v>1035</v>
      </c>
      <c r="R28" s="79">
        <f>ROUND(O28*1.38,2)</f>
        <v>1242</v>
      </c>
      <c r="S28" s="79">
        <f>ROUND(O28*2,2)</f>
        <v>1800</v>
      </c>
      <c r="T28" s="45">
        <f>ROUND(P28*1.38,0)</f>
        <v>331</v>
      </c>
      <c r="U28" s="100">
        <f>ROUND(P28*2,0)</f>
        <v>480</v>
      </c>
      <c r="V28" s="101">
        <f>ROUND((O28*1.38-K28*1.38),0)</f>
        <v>331</v>
      </c>
      <c r="W28" s="100">
        <f>ROUND(O28*W$27,2)</f>
        <v>954</v>
      </c>
      <c r="X28" s="33">
        <f>ROUND(W28*'[1]старость_доплаты2008'!$C$2*'[1]старость_доплаты2008'!$D$2,0)</f>
        <v>1352</v>
      </c>
      <c r="AA28" s="51">
        <f>W28*1.06</f>
        <v>1011.24</v>
      </c>
      <c r="AB28" s="51">
        <f>W28*1.085</f>
        <v>1035.09</v>
      </c>
      <c r="AC28" s="51">
        <f>AA28-W28</f>
        <v>57.24000000000001</v>
      </c>
      <c r="AD28" s="51">
        <f>AB28-W28</f>
        <v>81.08999999999992</v>
      </c>
      <c r="AE28" s="40">
        <f>ROUND(AB28*1.075,2)</f>
        <v>1112.72</v>
      </c>
      <c r="AF28" s="42">
        <f>AE28-AB28</f>
        <v>77.63000000000011</v>
      </c>
      <c r="AG28" s="33">
        <f>AG13</f>
        <v>1260</v>
      </c>
      <c r="AH28" s="33">
        <f>AG28-AE28</f>
        <v>147.27999999999997</v>
      </c>
      <c r="AI28" s="42">
        <f>AG28-AB28</f>
        <v>224.91000000000008</v>
      </c>
      <c r="AJ28" s="42">
        <f>ROUND(AG28*1.07,2)</f>
        <v>1348.2</v>
      </c>
      <c r="AK28" s="102">
        <f>AG28*1.055</f>
        <v>1329.3</v>
      </c>
      <c r="AL28" s="38">
        <f>ROUND(AJ28*AL6,2)</f>
        <v>1545</v>
      </c>
      <c r="AM28" s="41">
        <f>1524</f>
        <v>1524</v>
      </c>
      <c r="AN28" s="40">
        <f>AN13</f>
        <v>1607.82</v>
      </c>
      <c r="AO28" s="40">
        <f>AO13</f>
        <v>1812</v>
      </c>
      <c r="AP28" s="40">
        <f>AP13</f>
        <v>1671.94</v>
      </c>
      <c r="AQ28" s="39"/>
      <c r="AR28">
        <f>AO28*1.15</f>
        <v>2083.7999999999997</v>
      </c>
      <c r="BL28" s="41">
        <f>ROUND(AL28*1.068,2)</f>
        <v>1650.06</v>
      </c>
      <c r="BM28" s="33">
        <f>BM13</f>
        <v>1950</v>
      </c>
      <c r="BN28" s="33">
        <f>ROUND(BM28*1.065,2)</f>
        <v>2076.75</v>
      </c>
      <c r="BO28" s="102">
        <f>BO13</f>
        <v>1560</v>
      </c>
      <c r="BP28" s="40">
        <f>BO28-AG28</f>
        <v>300</v>
      </c>
      <c r="BQ28" s="40">
        <f>BQ13</f>
        <v>1452</v>
      </c>
      <c r="BR28" s="41">
        <f>BQ28-AG28</f>
        <v>192</v>
      </c>
      <c r="BS28" s="40">
        <f>BS13</f>
        <v>1794</v>
      </c>
      <c r="BT28" s="41">
        <f>BS28-BO28</f>
        <v>234</v>
      </c>
    </row>
    <row r="29" spans="1:72" ht="12.75">
      <c r="A29" s="34" t="s">
        <v>96</v>
      </c>
      <c r="B29" s="42">
        <v>225</v>
      </c>
      <c r="C29" s="42">
        <f>ROUND(B29*1.065,2)</f>
        <v>239.63</v>
      </c>
      <c r="D29" s="42">
        <f>ROUND(C29*1.09,2)</f>
        <v>261.2</v>
      </c>
      <c r="E29" s="42">
        <f>F29-D29</f>
        <v>15.670000000000016</v>
      </c>
      <c r="F29" s="42">
        <f>ROUND(D29*1.06,2)</f>
        <v>276.87</v>
      </c>
      <c r="G29" s="42">
        <f>ROUND(F29*1.08,2)</f>
        <v>299.02</v>
      </c>
      <c r="H29" s="42">
        <f>G29-D29</f>
        <v>37.81999999999999</v>
      </c>
      <c r="I29" s="42">
        <f>ROUND(G29*I$6,2)</f>
        <v>310.51</v>
      </c>
      <c r="J29" s="42">
        <f>I29-G29</f>
        <v>11.490000000000009</v>
      </c>
      <c r="K29" s="75">
        <f>I29*K6</f>
        <v>330.0106280193237</v>
      </c>
      <c r="L29" s="75">
        <f>K29-G29</f>
        <v>30.990628019323708</v>
      </c>
      <c r="M29" s="75">
        <f>ROUND(K29*M$6,2)</f>
        <v>450.01</v>
      </c>
      <c r="N29" s="75">
        <f>M29-K29</f>
        <v>119.9993719806763</v>
      </c>
      <c r="O29" s="75">
        <v>450</v>
      </c>
      <c r="P29" s="79">
        <f>O29-K29</f>
        <v>119.98937198067631</v>
      </c>
      <c r="Q29" s="79">
        <f>ROUND(O29*1.15,2)</f>
        <v>517.5</v>
      </c>
      <c r="R29" s="79">
        <f>ROUND(O29*1.38,2)</f>
        <v>621</v>
      </c>
      <c r="S29" s="79">
        <f>ROUND(O29*2,2)</f>
        <v>900</v>
      </c>
      <c r="T29" s="45">
        <f>ROUND(P29*1.38,0)</f>
        <v>166</v>
      </c>
      <c r="U29" s="100">
        <f>ROUND(P29*2,0)</f>
        <v>240</v>
      </c>
      <c r="V29" s="101">
        <f>ROUND((O29*1.38-K29*1.38),0)</f>
        <v>166</v>
      </c>
      <c r="W29" s="100">
        <f>ROUND(O29*W$27,2)</f>
        <v>477</v>
      </c>
      <c r="X29" s="33">
        <f>ROUND(W29*'[1]старость_доплаты2008'!$C$2*'[1]старость_доплаты2008'!$D$2,0)</f>
        <v>676</v>
      </c>
      <c r="AA29" s="51">
        <f>W29*1.06</f>
        <v>505.62</v>
      </c>
      <c r="AB29" s="51">
        <f>W29*1.085</f>
        <v>517.545</v>
      </c>
      <c r="AC29" s="51">
        <f>AA29-W29</f>
        <v>28.620000000000005</v>
      </c>
      <c r="AD29" s="51">
        <f>AB29-W29</f>
        <v>40.54499999999996</v>
      </c>
      <c r="AE29" s="33">
        <f>ROUND(AB29*1.075,2)</f>
        <v>556.36</v>
      </c>
      <c r="AF29" s="42">
        <f>AE29-AB29</f>
        <v>38.815000000000055</v>
      </c>
      <c r="AG29" s="33">
        <f>AG18</f>
        <v>630</v>
      </c>
      <c r="AH29" s="33">
        <f>AG29-AE29</f>
        <v>73.63999999999999</v>
      </c>
      <c r="AI29" s="42">
        <f>AG29-AB29</f>
        <v>112.45500000000004</v>
      </c>
      <c r="AJ29" s="42">
        <f>ROUND(AG29*1.07,2)</f>
        <v>674.1</v>
      </c>
      <c r="AK29" s="78">
        <f>AG29*1.055</f>
        <v>664.65</v>
      </c>
      <c r="AL29" s="38">
        <f>ROUND(AJ29*AL6,2)</f>
        <v>772.5</v>
      </c>
      <c r="AM29" s="38">
        <f>AM28/2</f>
        <v>762</v>
      </c>
      <c r="AN29" s="33">
        <f>AN18</f>
        <v>803.91</v>
      </c>
      <c r="AO29" s="33">
        <f>AO18</f>
        <v>906</v>
      </c>
      <c r="AP29" s="33">
        <f>AP18</f>
        <v>835.97</v>
      </c>
      <c r="AQ29" s="39"/>
      <c r="AR29">
        <f>AO29*1.15</f>
        <v>1041.8999999999999</v>
      </c>
      <c r="BL29" s="38">
        <f>AL29*1.068</f>
        <v>825.0300000000001</v>
      </c>
      <c r="BM29" s="33">
        <f>BM18</f>
        <v>975</v>
      </c>
      <c r="BN29" s="33">
        <f>ROUND(BM29*1.065,2)</f>
        <v>1038.38</v>
      </c>
      <c r="BO29" s="78">
        <f>BO18</f>
        <v>780</v>
      </c>
      <c r="BP29" s="33">
        <f>BO29-AG29</f>
        <v>150</v>
      </c>
      <c r="BQ29" s="33">
        <f>BQ18</f>
        <v>726</v>
      </c>
      <c r="BR29" s="38">
        <f>BQ29-AG29</f>
        <v>96</v>
      </c>
      <c r="BS29" s="33">
        <f>BS18</f>
        <v>897</v>
      </c>
      <c r="BT29" s="38">
        <f>BS29-BO29</f>
        <v>117</v>
      </c>
    </row>
    <row r="30" spans="1:72" ht="12.7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5"/>
      <c r="L30" s="55">
        <f>K30-G30</f>
        <v>0</v>
      </c>
      <c r="M30" s="55"/>
      <c r="N30" s="55"/>
      <c r="O30" s="59"/>
      <c r="P30" s="7"/>
      <c r="Q30" s="7"/>
      <c r="R30" s="7"/>
      <c r="S30" s="7"/>
      <c r="T30" s="53">
        <f>ROUND(P30*1.38,0)</f>
        <v>0</v>
      </c>
      <c r="U30" s="7">
        <f>ROUND(P30*2,0)</f>
        <v>0</v>
      </c>
      <c r="W30" s="7"/>
      <c r="X30" s="59"/>
      <c r="AA30" s="58">
        <f>W30*1.06</f>
        <v>0</v>
      </c>
      <c r="AB30" s="58">
        <f>W30*1.085</f>
        <v>0</v>
      </c>
      <c r="AC30" s="58">
        <f>AA30-W30</f>
        <v>0</v>
      </c>
      <c r="AD30" s="58">
        <f>AB30-W30</f>
        <v>0</v>
      </c>
      <c r="AE30" s="53">
        <f>ROUND(AB30*1.075,2)</f>
        <v>0</v>
      </c>
      <c r="AF30" s="55">
        <f>AE30-AB30</f>
        <v>0</v>
      </c>
      <c r="AG30" s="53"/>
      <c r="AH30" s="59">
        <f>AG30-AE30</f>
        <v>0</v>
      </c>
      <c r="AI30" s="54">
        <f>AG30-AB30</f>
        <v>0</v>
      </c>
      <c r="AJ30" s="54"/>
      <c r="AK30" s="53">
        <f>AG30*1.055</f>
        <v>0</v>
      </c>
      <c r="AL30" s="53"/>
      <c r="AM30" s="53"/>
      <c r="AN30" s="53"/>
      <c r="AO30" s="53"/>
      <c r="AP30" s="53"/>
      <c r="AQ30" s="73"/>
      <c r="AR30">
        <f>AO30*1.15</f>
        <v>0</v>
      </c>
      <c r="BL30" s="60">
        <f>AL30*1.068</f>
        <v>0</v>
      </c>
      <c r="BM30" s="53"/>
      <c r="BN30" s="53">
        <f>ROUND(BM30*1.065,2)</f>
        <v>0</v>
      </c>
      <c r="BO30" s="61"/>
      <c r="BP30" s="59"/>
      <c r="BQ30" s="59"/>
      <c r="BR30" s="60"/>
      <c r="BS30" s="59"/>
      <c r="BT30" s="60"/>
    </row>
    <row r="31" spans="2:30" ht="12.75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AC31" s="8"/>
      <c r="AD31" s="8"/>
    </row>
    <row r="32" spans="1:30" ht="51.75" customHeight="1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AC32" s="8"/>
      <c r="AD32" s="8"/>
    </row>
    <row r="33" spans="29:30" ht="12.75">
      <c r="AC33" s="8"/>
      <c r="AD33" s="8"/>
    </row>
    <row r="34" spans="29:30" ht="12.75">
      <c r="AC34" s="8"/>
      <c r="AD34" s="8"/>
    </row>
    <row r="35" spans="29:30" ht="12.75">
      <c r="AC35" s="8"/>
      <c r="AD35" s="8"/>
    </row>
    <row r="36" spans="29:30" ht="12.75">
      <c r="AC36" s="8"/>
      <c r="AD36" s="8"/>
    </row>
    <row r="37" spans="29:30" ht="12.75">
      <c r="AC37" s="8"/>
      <c r="AD37" s="8"/>
    </row>
    <row r="38" spans="29:30" ht="12.75">
      <c r="AC38" s="8"/>
      <c r="AD38" s="8"/>
    </row>
    <row r="39" spans="29:30" ht="12.75">
      <c r="AC39" s="8"/>
      <c r="AD39" s="8"/>
    </row>
    <row r="40" spans="29:30" ht="12.75">
      <c r="AC40" s="8"/>
      <c r="AD40" s="8"/>
    </row>
    <row r="41" spans="29:30" ht="12.75">
      <c r="AC41" s="8"/>
      <c r="AD41" s="8"/>
    </row>
    <row r="42" spans="29:30" ht="12.75">
      <c r="AC42" s="8"/>
      <c r="AD42" s="8"/>
    </row>
    <row r="43" spans="29:30" ht="12.75">
      <c r="AC43" s="8"/>
      <c r="AD43" s="8"/>
    </row>
    <row r="44" spans="29:30" ht="12.75">
      <c r="AC44" s="8"/>
      <c r="AD44" s="8"/>
    </row>
    <row r="45" spans="29:30" ht="12.75">
      <c r="AC45" s="8"/>
      <c r="AD45" s="8"/>
    </row>
    <row r="46" spans="29:30" ht="12.75">
      <c r="AC46" s="8"/>
      <c r="AD46" s="8"/>
    </row>
    <row r="47" spans="29:30" ht="12.75">
      <c r="AC47" s="8"/>
      <c r="AD47" s="8"/>
    </row>
    <row r="48" spans="29:30" ht="12.75">
      <c r="AC48" s="8"/>
      <c r="AD48" s="8"/>
    </row>
    <row r="49" spans="29:30" ht="12.75">
      <c r="AC49" s="8"/>
      <c r="AD49" s="8"/>
    </row>
    <row r="50" spans="29:30" ht="12.75">
      <c r="AC50" s="8"/>
      <c r="AD50" s="8"/>
    </row>
    <row r="51" spans="29:30" ht="12.75">
      <c r="AC51" s="8"/>
      <c r="AD51" s="8"/>
    </row>
    <row r="52" spans="29:30" ht="12.75">
      <c r="AC52" s="8"/>
      <c r="AD52" s="8"/>
    </row>
    <row r="53" spans="29:30" ht="12.75">
      <c r="AC53" s="8"/>
      <c r="AD53" s="8"/>
    </row>
    <row r="54" spans="29:30" ht="12.75">
      <c r="AC54" s="8"/>
      <c r="AD54" s="8"/>
    </row>
  </sheetData>
  <mergeCells count="2">
    <mergeCell ref="A32:J32"/>
    <mergeCell ref="A1:T1"/>
  </mergeCells>
  <printOptions horizontalCentered="1"/>
  <pageMargins left="0" right="0" top="0.7874015748031497" bottom="0.5905511811023623" header="0.31496062992125984" footer="0.31496062992125984"/>
  <pageSetup horizontalDpi="600" verticalDpi="600" orientation="landscape" paperSize="9" r:id="rId1"/>
  <headerFooter alignWithMargins="0">
    <oddFooter>&amp;L&amp;8&amp;F&amp;R&amp;8&amp;D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O35"/>
  <sheetViews>
    <sheetView showZeros="0" workbookViewId="0" topLeftCell="A1">
      <selection activeCell="AE4" sqref="AE4"/>
    </sheetView>
  </sheetViews>
  <sheetFormatPr defaultColWidth="9.00390625" defaultRowHeight="12.75"/>
  <cols>
    <col min="1" max="1" width="31.375" style="0" customWidth="1"/>
    <col min="2" max="2" width="19.875" style="0" customWidth="1"/>
    <col min="3" max="3" width="9.25390625" style="0" hidden="1" customWidth="1"/>
    <col min="4" max="9" width="9.125" style="0" hidden="1" customWidth="1"/>
    <col min="10" max="11" width="10.125" style="0" hidden="1" customWidth="1"/>
    <col min="12" max="12" width="11.125" style="0" hidden="1" customWidth="1"/>
    <col min="13" max="13" width="9.125" style="0" hidden="1" customWidth="1"/>
    <col min="14" max="14" width="10.625" style="0" hidden="1" customWidth="1"/>
    <col min="15" max="15" width="9.125" style="0" hidden="1" customWidth="1"/>
    <col min="16" max="16" width="11.875" style="0" hidden="1" customWidth="1"/>
    <col min="17" max="18" width="9.125" style="0" hidden="1" customWidth="1"/>
    <col min="19" max="19" width="10.625" style="0" hidden="1" customWidth="1"/>
    <col min="20" max="20" width="9.125" style="0" hidden="1" customWidth="1"/>
    <col min="21" max="21" width="11.75390625" style="0" hidden="1" customWidth="1"/>
    <col min="22" max="23" width="9.125" style="0" hidden="1" customWidth="1"/>
    <col min="24" max="24" width="11.625" style="0" hidden="1" customWidth="1"/>
    <col min="25" max="25" width="10.875" style="0" hidden="1" customWidth="1"/>
    <col min="26" max="26" width="11.875" style="0" hidden="1" customWidth="1"/>
    <col min="27" max="28" width="9.125" style="0" hidden="1" customWidth="1"/>
    <col min="29" max="30" width="10.625" style="0" hidden="1" customWidth="1"/>
    <col min="31" max="31" width="11.125" style="0" customWidth="1"/>
    <col min="32" max="32" width="13.00390625" style="0" hidden="1" customWidth="1"/>
    <col min="33" max="33" width="9.125" style="0" hidden="1" customWidth="1"/>
    <col min="34" max="34" width="0" style="0" hidden="1" customWidth="1"/>
    <col min="35" max="38" width="11.00390625" style="0" hidden="1" customWidth="1"/>
    <col min="39" max="39" width="9.00390625" style="0" hidden="1" customWidth="1"/>
    <col min="40" max="40" width="9.125" style="0" hidden="1" customWidth="1"/>
    <col min="41" max="41" width="7.375" style="0" hidden="1" customWidth="1"/>
    <col min="42" max="42" width="8.00390625" style="0" hidden="1" customWidth="1"/>
    <col min="43" max="43" width="7.75390625" style="0" hidden="1" customWidth="1"/>
    <col min="44" max="44" width="7.375" style="0" hidden="1" customWidth="1"/>
    <col min="45" max="45" width="7.875" style="0" hidden="1" customWidth="1"/>
    <col min="46" max="46" width="7.75390625" style="0" hidden="1" customWidth="1"/>
    <col min="47" max="47" width="8.00390625" style="0" hidden="1" customWidth="1"/>
    <col min="48" max="48" width="7.625" style="0" hidden="1" customWidth="1"/>
    <col min="49" max="49" width="8.625" style="0" hidden="1" customWidth="1"/>
    <col min="50" max="50" width="7.125" style="0" hidden="1" customWidth="1"/>
    <col min="51" max="51" width="9.00390625" style="0" hidden="1" customWidth="1"/>
    <col min="52" max="52" width="8.75390625" style="0" hidden="1" customWidth="1"/>
    <col min="53" max="53" width="9.125" style="0" hidden="1" customWidth="1"/>
    <col min="54" max="54" width="8.25390625" style="0" hidden="1" customWidth="1"/>
    <col min="55" max="55" width="9.125" style="0" hidden="1" customWidth="1"/>
    <col min="56" max="56" width="7.75390625" style="0" hidden="1" customWidth="1"/>
    <col min="57" max="57" width="9.125" style="0" hidden="1" customWidth="1"/>
    <col min="58" max="58" width="8.00390625" style="0" hidden="1" customWidth="1"/>
    <col min="59" max="59" width="9.125" style="0" hidden="1" customWidth="1"/>
    <col min="60" max="61" width="0" style="0" hidden="1" customWidth="1"/>
    <col min="62" max="62" width="10.125" style="0" customWidth="1"/>
    <col min="63" max="63" width="12.625" style="0" customWidth="1"/>
    <col min="64" max="64" width="11.25390625" style="0" hidden="1" customWidth="1"/>
    <col min="65" max="65" width="12.125" style="0" hidden="1" customWidth="1"/>
    <col min="66" max="66" width="15.00390625" style="0" hidden="1" customWidth="1"/>
    <col min="67" max="67" width="13.125" style="0" hidden="1" customWidth="1"/>
  </cols>
  <sheetData>
    <row r="1" spans="1:20" s="1" customFormat="1" ht="15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ht="12.75">
      <c r="A2" s="2" t="s">
        <v>97</v>
      </c>
    </row>
    <row r="3" spans="9:64" ht="12.75">
      <c r="I3" s="4"/>
      <c r="K3" s="4" t="s">
        <v>6</v>
      </c>
      <c r="P3" s="5"/>
      <c r="Q3" s="5"/>
      <c r="R3" s="5"/>
      <c r="S3" s="6" t="s">
        <v>7</v>
      </c>
      <c r="T3" s="5"/>
      <c r="U3" t="s">
        <v>8</v>
      </c>
      <c r="Y3" s="7" t="s">
        <v>9</v>
      </c>
      <c r="Z3" s="8"/>
      <c r="AA3" t="s">
        <v>10</v>
      </c>
      <c r="AH3" t="s">
        <v>11</v>
      </c>
      <c r="AJ3" t="s">
        <v>11</v>
      </c>
      <c r="BL3" t="s">
        <v>12</v>
      </c>
    </row>
    <row r="4" spans="1:67" s="11" customFormat="1" ht="43.5" customHeight="1">
      <c r="A4" s="9" t="s">
        <v>16</v>
      </c>
      <c r="B4" s="9" t="s">
        <v>98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25</v>
      </c>
      <c r="L4" s="9" t="s">
        <v>26</v>
      </c>
      <c r="M4" s="9" t="s">
        <v>25</v>
      </c>
      <c r="N4" s="9" t="s">
        <v>99</v>
      </c>
      <c r="O4" s="9" t="s">
        <v>81</v>
      </c>
      <c r="P4" s="9" t="s">
        <v>27</v>
      </c>
      <c r="Q4" s="10" t="s">
        <v>28</v>
      </c>
      <c r="R4" s="10" t="s">
        <v>30</v>
      </c>
      <c r="S4" s="10" t="s">
        <v>31</v>
      </c>
      <c r="T4" s="10" t="s">
        <v>32</v>
      </c>
      <c r="U4" s="10" t="s">
        <v>31</v>
      </c>
      <c r="V4" s="10" t="s">
        <v>32</v>
      </c>
      <c r="X4" s="9" t="s">
        <v>33</v>
      </c>
      <c r="Y4" s="9" t="s">
        <v>35</v>
      </c>
      <c r="Z4" s="9" t="s">
        <v>35</v>
      </c>
      <c r="AA4" s="9" t="s">
        <v>36</v>
      </c>
      <c r="AB4" s="9" t="s">
        <v>37</v>
      </c>
      <c r="AC4" s="9" t="s">
        <v>38</v>
      </c>
      <c r="AD4" s="9" t="s">
        <v>86</v>
      </c>
      <c r="AE4" s="9" t="s">
        <v>40</v>
      </c>
      <c r="AF4" s="9" t="s">
        <v>87</v>
      </c>
      <c r="AG4" s="9" t="s">
        <v>88</v>
      </c>
      <c r="AH4" s="9" t="s">
        <v>43</v>
      </c>
      <c r="AI4" s="9" t="s">
        <v>43</v>
      </c>
      <c r="AJ4" s="103" t="s">
        <v>44</v>
      </c>
      <c r="AK4" s="103" t="s">
        <v>44</v>
      </c>
      <c r="AL4" s="9" t="s">
        <v>45</v>
      </c>
      <c r="AM4" s="9" t="s">
        <v>48</v>
      </c>
      <c r="AN4" s="104" t="s">
        <v>49</v>
      </c>
      <c r="AO4" s="63" t="s">
        <v>53</v>
      </c>
      <c r="AP4" s="12" t="s">
        <v>100</v>
      </c>
      <c r="AQ4" s="63" t="s">
        <v>55</v>
      </c>
      <c r="AR4" s="63" t="s">
        <v>56</v>
      </c>
      <c r="AS4" s="63" t="s">
        <v>55</v>
      </c>
      <c r="AT4" s="63" t="s">
        <v>57</v>
      </c>
      <c r="AU4" s="63" t="s">
        <v>55</v>
      </c>
      <c r="AV4" s="63" t="s">
        <v>58</v>
      </c>
      <c r="AW4" s="63" t="s">
        <v>55</v>
      </c>
      <c r="AX4" s="63" t="s">
        <v>59</v>
      </c>
      <c r="AY4" s="63" t="s">
        <v>55</v>
      </c>
      <c r="AZ4" s="63" t="s">
        <v>60</v>
      </c>
      <c r="BA4" s="63" t="s">
        <v>55</v>
      </c>
      <c r="BB4" s="63" t="s">
        <v>61</v>
      </c>
      <c r="BC4" s="63" t="s">
        <v>55</v>
      </c>
      <c r="BD4" s="63" t="s">
        <v>62</v>
      </c>
      <c r="BE4" s="63" t="s">
        <v>55</v>
      </c>
      <c r="BF4" s="63" t="s">
        <v>63</v>
      </c>
      <c r="BG4" s="63" t="s">
        <v>55</v>
      </c>
      <c r="BH4" s="9" t="s">
        <v>45</v>
      </c>
      <c r="BI4" s="9" t="s">
        <v>48</v>
      </c>
      <c r="BJ4" s="9" t="s">
        <v>64</v>
      </c>
      <c r="BK4" s="12" t="s">
        <v>65</v>
      </c>
      <c r="BL4" s="9" t="s">
        <v>66</v>
      </c>
      <c r="BM4" s="12" t="s">
        <v>67</v>
      </c>
      <c r="BN4" s="9" t="s">
        <v>68</v>
      </c>
      <c r="BO4" s="12" t="s">
        <v>69</v>
      </c>
    </row>
    <row r="5" spans="1:67" s="111" customFormat="1" ht="15" customHeight="1">
      <c r="A5" s="105" t="s">
        <v>70</v>
      </c>
      <c r="B5" s="106"/>
      <c r="C5" s="107"/>
      <c r="D5" s="107">
        <v>1.065</v>
      </c>
      <c r="E5" s="107">
        <v>1.09</v>
      </c>
      <c r="F5" s="108">
        <v>1.161</v>
      </c>
      <c r="G5" s="109">
        <v>1.06</v>
      </c>
      <c r="H5" s="110">
        <v>1.08</v>
      </c>
      <c r="I5" s="108">
        <v>1.145</v>
      </c>
      <c r="J5" s="19">
        <v>1.0384268</v>
      </c>
      <c r="K5" s="19">
        <f>J5</f>
        <v>1.0384268</v>
      </c>
      <c r="L5" s="66">
        <f>ROUND(660/621,8)</f>
        <v>1.06280193</v>
      </c>
      <c r="M5" s="17">
        <f>'[2]Труд_по инв(потере корм)'!L6</f>
        <v>1.1036</v>
      </c>
      <c r="N5" s="66">
        <f>'[2]Труд_по инв(потере корм)'!M6</f>
        <v>1.36363636</v>
      </c>
      <c r="O5" s="17"/>
      <c r="P5" s="17">
        <v>1.36363636</v>
      </c>
      <c r="Q5" s="26"/>
      <c r="R5" s="26"/>
      <c r="S5" s="26"/>
      <c r="T5" s="26"/>
      <c r="U5" s="69"/>
      <c r="V5" s="17"/>
      <c r="X5" s="17">
        <v>1.06</v>
      </c>
      <c r="Y5" s="17">
        <v>1.06</v>
      </c>
      <c r="Z5" s="17">
        <v>1.085</v>
      </c>
      <c r="AA5" s="17"/>
      <c r="AB5" s="17"/>
      <c r="AC5" s="26">
        <v>1.075</v>
      </c>
      <c r="AD5" s="16"/>
      <c r="AE5" s="20">
        <f>1260/1112.72</f>
        <v>1.132360342224459</v>
      </c>
      <c r="AF5" s="27"/>
      <c r="AG5" s="112"/>
      <c r="AH5" s="17">
        <v>1.07</v>
      </c>
      <c r="AI5" s="17">
        <v>1.055</v>
      </c>
      <c r="AJ5" s="17">
        <f>'[2]Труд_по инв(потере корм)'!AL6</f>
        <v>1.1459724076546507</v>
      </c>
      <c r="AK5" s="17">
        <v>1.1464680658993456</v>
      </c>
      <c r="AL5" s="17">
        <v>1.055</v>
      </c>
      <c r="AM5" s="17">
        <v>1.1269918274433706</v>
      </c>
      <c r="AN5" s="69">
        <v>1.0970734908136481</v>
      </c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99">
        <v>1.068</v>
      </c>
      <c r="BI5" s="63">
        <f>'[2]Труд_по инв(потере корм)'!BM27</f>
        <v>1.18177521</v>
      </c>
      <c r="BJ5" s="26">
        <f>1560/1260</f>
        <v>1.2380952380952381</v>
      </c>
      <c r="BK5" s="27"/>
      <c r="BL5" s="26">
        <f>1452/1260</f>
        <v>1.1523809523809523</v>
      </c>
      <c r="BM5" s="27"/>
      <c r="BN5" s="17">
        <f>'[2]Труд_по инв(потере корм)'!BS27</f>
        <v>1.15</v>
      </c>
      <c r="BO5" s="27"/>
    </row>
    <row r="6" spans="1:67" ht="23.25" customHeight="1">
      <c r="A6" s="159" t="s">
        <v>101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73"/>
      <c r="M6" s="73"/>
      <c r="N6" s="73"/>
      <c r="O6" s="73"/>
      <c r="P6" s="73"/>
      <c r="Q6" s="35"/>
      <c r="R6" s="35"/>
      <c r="S6" s="35"/>
      <c r="T6" s="35"/>
      <c r="V6" s="34"/>
      <c r="X6" s="36"/>
      <c r="Y6" s="34"/>
      <c r="Z6" s="34"/>
      <c r="AA6" s="34"/>
      <c r="AB6" s="34"/>
      <c r="AC6" s="37"/>
      <c r="AD6" s="34"/>
      <c r="AE6" s="34"/>
      <c r="AF6" s="34"/>
      <c r="AG6" s="37"/>
      <c r="AH6" s="34"/>
      <c r="AI6" s="34"/>
      <c r="AJ6" s="34"/>
      <c r="AK6" s="34"/>
      <c r="AL6" s="34"/>
      <c r="AM6" s="34"/>
      <c r="AN6" s="113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37"/>
      <c r="BI6" s="37"/>
      <c r="BJ6" s="102"/>
      <c r="BK6" s="40"/>
      <c r="BL6" s="40"/>
      <c r="BM6" s="41"/>
      <c r="BN6" s="37"/>
      <c r="BO6" s="36"/>
    </row>
    <row r="7" spans="1:67" ht="12.75">
      <c r="A7" s="32" t="s">
        <v>78</v>
      </c>
      <c r="B7" s="32" t="s">
        <v>102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  <c r="R7" s="35"/>
      <c r="S7" s="35"/>
      <c r="T7" s="35"/>
      <c r="V7" s="34"/>
      <c r="X7" s="38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113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34"/>
      <c r="BI7" s="34"/>
      <c r="BJ7" s="78"/>
      <c r="BK7" s="33"/>
      <c r="BL7" s="33"/>
      <c r="BM7" s="38"/>
      <c r="BN7" s="34"/>
      <c r="BO7" s="35"/>
    </row>
    <row r="8" spans="1:67" ht="12.75">
      <c r="A8" s="34" t="s">
        <v>73</v>
      </c>
      <c r="B8" s="34"/>
      <c r="C8" s="42">
        <f>ROUND('[2]Труд_по старости'!B8*3,2)</f>
        <v>1350</v>
      </c>
      <c r="D8" s="42">
        <f>ROUND('[2]Труд_по старости'!C8*3,2)</f>
        <v>1437.75</v>
      </c>
      <c r="E8" s="42">
        <f>ROUND('[2]Труд_по старости'!D8*3,2)</f>
        <v>1567.14</v>
      </c>
      <c r="F8" s="42">
        <f aca="true" t="shared" si="0" ref="F8:F18">G8-E8</f>
        <v>94.01999999999998</v>
      </c>
      <c r="G8" s="42">
        <f>ROUND('[2]Труд_по старости'!F8*3,2)</f>
        <v>1661.16</v>
      </c>
      <c r="H8" s="33">
        <f>ROUND('[2]Труд_по старости'!G8*3,2)</f>
        <v>1794.06</v>
      </c>
      <c r="I8" s="42">
        <f aca="true" t="shared" si="1" ref="I8:I18">H8-E8</f>
        <v>226.91999999999985</v>
      </c>
      <c r="J8" s="42">
        <f>ROUND('[2]Труд_по старости'!I8*3,2)</f>
        <v>1863</v>
      </c>
      <c r="K8" s="42">
        <f aca="true" t="shared" si="2" ref="K8:K18">J8-H8</f>
        <v>68.94000000000005</v>
      </c>
      <c r="L8" s="45">
        <f>ROUND('[2]Труд_по старости'!K8*3,2)</f>
        <v>1980</v>
      </c>
      <c r="M8" s="45">
        <f aca="true" t="shared" si="3" ref="M8:M31">L8-H8</f>
        <v>185.94000000000005</v>
      </c>
      <c r="N8" s="45">
        <f>ROUND('[2]Труд_по старости'!M8*3,2)</f>
        <v>2700</v>
      </c>
      <c r="O8" s="45">
        <f aca="true" t="shared" si="4" ref="O8:O31">N8-L8</f>
        <v>720</v>
      </c>
      <c r="P8" s="115">
        <f>ROUND('[2]Труд_по старости'!O8*3,2)</f>
        <v>2700</v>
      </c>
      <c r="Q8" s="48">
        <f aca="true" t="shared" si="5" ref="Q8:Q24">P8-L8</f>
        <v>720</v>
      </c>
      <c r="R8" s="47">
        <f aca="true" t="shared" si="6" ref="R8:R31">ROUND(P8*1.15,2)</f>
        <v>3105</v>
      </c>
      <c r="S8" s="48">
        <f aca="true" t="shared" si="7" ref="S8:S31">ROUND(P8*1.38,2)</f>
        <v>3726</v>
      </c>
      <c r="T8" s="48">
        <f aca="true" t="shared" si="8" ref="T8:T31">ROUND(P8*2,2)</f>
        <v>5400</v>
      </c>
      <c r="U8" s="11">
        <f aca="true" t="shared" si="9" ref="U8:U31">ROUND(Q8*1.38,0)</f>
        <v>994</v>
      </c>
      <c r="V8" s="49">
        <f aca="true" t="shared" si="10" ref="V8:V31">ROUND(Q8*2,0)</f>
        <v>1440</v>
      </c>
      <c r="W8">
        <f aca="true" t="shared" si="11" ref="W8:W31">ROUND((P8*1.38-L8*1.38),0)</f>
        <v>994</v>
      </c>
      <c r="X8" s="38">
        <f>ROUND('[2]Труд_по старости'!X8*3,2)</f>
        <v>2862</v>
      </c>
      <c r="Y8" s="33">
        <f aca="true" t="shared" si="12" ref="Y8:Y31">X8*1.06</f>
        <v>3033.7200000000003</v>
      </c>
      <c r="Z8" s="42">
        <f>ROUND('[2]Труд_по старости'!AA8*3,2)</f>
        <v>3105.27</v>
      </c>
      <c r="AA8" s="33">
        <f aca="true" t="shared" si="13" ref="AA8:AA31">Y8-X8</f>
        <v>171.72000000000025</v>
      </c>
      <c r="AB8" s="42">
        <f aca="true" t="shared" si="14" ref="AB8:AB31">Z8-X8</f>
        <v>243.26999999999998</v>
      </c>
      <c r="AC8" s="33">
        <f>'[2]Труд_по старости'!AD8*3</f>
        <v>3338.16</v>
      </c>
      <c r="AD8" s="42">
        <f aca="true" t="shared" si="15" ref="AD8:AD31">AC8-Z8</f>
        <v>232.88999999999987</v>
      </c>
      <c r="AE8" s="33">
        <f>'[2]Труд_по старости'!AF8*3</f>
        <v>3780</v>
      </c>
      <c r="AF8" s="33">
        <f aca="true" t="shared" si="16" ref="AF8:AF31">AE8-AC8</f>
        <v>441.84000000000015</v>
      </c>
      <c r="AG8" s="42">
        <f aca="true" t="shared" si="17" ref="AG8:AG31">AE8-Z8</f>
        <v>674.73</v>
      </c>
      <c r="AH8" s="42">
        <f>ROUND('[2]Труд_по старости'!AI8*3,2)</f>
        <v>4044.6</v>
      </c>
      <c r="AI8" s="42">
        <f>3*'[2]Труд_по старости'!AJ8</f>
        <v>3987.8999999999996</v>
      </c>
      <c r="AJ8" s="42">
        <f>ROUND(3*'[2]Труд_по старости'!AK8,2)</f>
        <v>4635</v>
      </c>
      <c r="AK8" s="33">
        <f>3*'[2]Труд_по старости'!AL8</f>
        <v>4572</v>
      </c>
      <c r="AL8" s="33">
        <f>3*'[2]Труд_по старости'!AQ8</f>
        <v>4823.46</v>
      </c>
      <c r="AM8" s="33">
        <f>3*'[2]Труд_по старости'!AR8</f>
        <v>5436</v>
      </c>
      <c r="AN8" s="78">
        <f>3*'[2]Труд_по старости'!AS8</f>
        <v>5015.82</v>
      </c>
      <c r="AO8" s="96">
        <f aca="true" t="shared" si="18" ref="AO8:AO31">AM8*1.15</f>
        <v>6251.4</v>
      </c>
      <c r="AP8" s="114">
        <f>1926.53+1000</f>
        <v>2926.5299999999997</v>
      </c>
      <c r="AQ8" s="96">
        <f aca="true" t="shared" si="19" ref="AQ8:AQ31">AO8+AP8</f>
        <v>9177.93</v>
      </c>
      <c r="AR8" s="96">
        <f aca="true" t="shared" si="20" ref="AR8:AR31">AM8*1.2</f>
        <v>6523.2</v>
      </c>
      <c r="AS8" s="114">
        <f aca="true" t="shared" si="21" ref="AS8:AS31">AR8+AP8</f>
        <v>9449.73</v>
      </c>
      <c r="AT8" s="96">
        <f aca="true" t="shared" si="22" ref="AT8:AT31">1.3*AM8</f>
        <v>7066.8</v>
      </c>
      <c r="AU8" s="96">
        <f aca="true" t="shared" si="23" ref="AU8:AU31">AT8+AP8</f>
        <v>9993.33</v>
      </c>
      <c r="AV8" s="96">
        <f aca="true" t="shared" si="24" ref="AV8:AV31">1.4*AM8</f>
        <v>7610.4</v>
      </c>
      <c r="AW8" s="114">
        <f aca="true" t="shared" si="25" ref="AW8:AW31">AV8+AP8</f>
        <v>10536.93</v>
      </c>
      <c r="AX8" s="96">
        <f aca="true" t="shared" si="26" ref="AX8:AX31">1.5*AM8</f>
        <v>8154</v>
      </c>
      <c r="AY8" s="96">
        <f aca="true" t="shared" si="27" ref="AY8:AY31">AX8+AP8</f>
        <v>11080.529999999999</v>
      </c>
      <c r="AZ8" s="96">
        <f aca="true" t="shared" si="28" ref="AZ8:AZ31">1.6*AM8</f>
        <v>8697.6</v>
      </c>
      <c r="BA8" s="96">
        <f aca="true" t="shared" si="29" ref="BA8:BA31">AZ8+AP8</f>
        <v>11624.130000000001</v>
      </c>
      <c r="BB8" s="96">
        <f aca="true" t="shared" si="30" ref="BB8:BB31">1.7*AM8</f>
        <v>9241.199999999999</v>
      </c>
      <c r="BC8" s="96">
        <f aca="true" t="shared" si="31" ref="BC8:BC31">BB8+AP8</f>
        <v>12167.73</v>
      </c>
      <c r="BD8" s="114">
        <f aca="true" t="shared" si="32" ref="BD8:BD31">1.8*AM8</f>
        <v>9784.800000000001</v>
      </c>
      <c r="BE8" s="96">
        <f aca="true" t="shared" si="33" ref="BE8:BE31">BD8+AP8</f>
        <v>12711.330000000002</v>
      </c>
      <c r="BF8" s="96">
        <f aca="true" t="shared" si="34" ref="BF8:BF31">2*AM8</f>
        <v>10872</v>
      </c>
      <c r="BG8" s="96">
        <f aca="true" t="shared" si="35" ref="BG8:BG31">BF8+AP8</f>
        <v>13798.529999999999</v>
      </c>
      <c r="BH8" s="42">
        <f>3*'[2]Труд_по старости'!DE8</f>
        <v>4950.18</v>
      </c>
      <c r="BI8" s="42">
        <f>3*'[2]Труд_по старости'!DF8</f>
        <v>5850</v>
      </c>
      <c r="BJ8" s="78">
        <f>3*'[2]Труд_по старости'!BP8</f>
        <v>4680</v>
      </c>
      <c r="BK8" s="33">
        <f aca="true" t="shared" si="36" ref="BK8:BK31">BJ8-AE8</f>
        <v>900</v>
      </c>
      <c r="BL8" s="33">
        <f>3*'[2]Труд_по старости'!BR8</f>
        <v>4356</v>
      </c>
      <c r="BM8" s="38">
        <f aca="true" t="shared" si="37" ref="BM8:BM31">BL8-AE8</f>
        <v>576</v>
      </c>
      <c r="BN8" s="33">
        <f>ROUND(3*'[2]Труд_по старости'!BT8,2)</f>
        <v>5382</v>
      </c>
      <c r="BO8" s="38">
        <f aca="true" t="shared" si="38" ref="BO8:BO31">BN8-BJ8</f>
        <v>702</v>
      </c>
    </row>
    <row r="9" spans="1:67" ht="12.75">
      <c r="A9" s="34" t="s">
        <v>74</v>
      </c>
      <c r="B9" s="34"/>
      <c r="C9" s="42">
        <f>ROUND('[2]Труд_по старости'!B9*3,2)</f>
        <v>1800</v>
      </c>
      <c r="D9" s="42">
        <f>ROUND('[2]Труд_по старости'!C9*3,2)</f>
        <v>1917</v>
      </c>
      <c r="E9" s="42">
        <f>ROUND('[2]Труд_по старости'!D9*3,2)</f>
        <v>2089.53</v>
      </c>
      <c r="F9" s="42">
        <f t="shared" si="0"/>
        <v>125.36999999999989</v>
      </c>
      <c r="G9" s="42">
        <f>ROUND('[2]Труд_по старости'!F9*3,2)</f>
        <v>2214.9</v>
      </c>
      <c r="H9" s="33">
        <f>ROUND('[2]Труд_по старости'!G9*3,2)</f>
        <v>2392.08</v>
      </c>
      <c r="I9" s="42">
        <f t="shared" si="1"/>
        <v>302.5499999999997</v>
      </c>
      <c r="J9" s="42">
        <f>ROUND('[2]Труд_по старости'!I9*3,2)</f>
        <v>2484</v>
      </c>
      <c r="K9" s="42">
        <f t="shared" si="2"/>
        <v>91.92000000000007</v>
      </c>
      <c r="L9" s="33">
        <f>ROUND('[2]Труд_по старости'!K9*3,2)</f>
        <v>2640</v>
      </c>
      <c r="M9" s="33">
        <f t="shared" si="3"/>
        <v>247.92000000000007</v>
      </c>
      <c r="N9" s="33">
        <f>ROUND('[2]Труд_по старости'!M9*3,2)</f>
        <v>3600</v>
      </c>
      <c r="O9" s="33">
        <f t="shared" si="4"/>
        <v>960</v>
      </c>
      <c r="P9" s="72">
        <f>ROUND('[2]Труд_по старости'!O9*3,2)</f>
        <v>3600</v>
      </c>
      <c r="Q9" s="46">
        <f t="shared" si="5"/>
        <v>960</v>
      </c>
      <c r="R9" s="51">
        <f t="shared" si="6"/>
        <v>4140</v>
      </c>
      <c r="S9" s="46">
        <f t="shared" si="7"/>
        <v>4968</v>
      </c>
      <c r="T9" s="46">
        <f t="shared" si="8"/>
        <v>7200</v>
      </c>
      <c r="U9" s="8">
        <f t="shared" si="9"/>
        <v>1325</v>
      </c>
      <c r="V9" s="33">
        <f t="shared" si="10"/>
        <v>1920</v>
      </c>
      <c r="W9">
        <f t="shared" si="11"/>
        <v>1325</v>
      </c>
      <c r="X9" s="38">
        <f>ROUND('[2]Труд_по старости'!X9*3,2)</f>
        <v>3816</v>
      </c>
      <c r="Y9" s="33">
        <f t="shared" si="12"/>
        <v>4044.96</v>
      </c>
      <c r="Z9" s="42">
        <f>ROUND('[2]Труд_по старости'!AA9*3,2)</f>
        <v>4140.36</v>
      </c>
      <c r="AA9" s="33">
        <f t="shared" si="13"/>
        <v>228.96000000000004</v>
      </c>
      <c r="AB9" s="42">
        <f t="shared" si="14"/>
        <v>324.3599999999997</v>
      </c>
      <c r="AC9" s="33">
        <f>'[2]Труд_по старости'!AD9*3</f>
        <v>4450.89</v>
      </c>
      <c r="AD9" s="42">
        <f t="shared" si="15"/>
        <v>310.53000000000065</v>
      </c>
      <c r="AE9" s="33">
        <f>'[2]Труд_по старости'!AF9*3</f>
        <v>5040</v>
      </c>
      <c r="AF9" s="33">
        <f t="shared" si="16"/>
        <v>589.1099999999997</v>
      </c>
      <c r="AG9" s="42">
        <f t="shared" si="17"/>
        <v>899.6400000000003</v>
      </c>
      <c r="AH9" s="42">
        <f>ROUND('[2]Труд_по старости'!AI9*3,2)</f>
        <v>5392.8</v>
      </c>
      <c r="AI9" s="42">
        <f>3*'[2]Труд_по старости'!AJ9</f>
        <v>5317.200000000001</v>
      </c>
      <c r="AJ9" s="42">
        <f>ROUND(3*'[2]Труд_по старости'!AK9,2)</f>
        <v>6180</v>
      </c>
      <c r="AK9" s="33">
        <f>3*'[2]Труд_по старости'!AL9</f>
        <v>6096</v>
      </c>
      <c r="AL9" s="33">
        <f>3*'[2]Труд_по старости'!AQ9</f>
        <v>6431.280000000001</v>
      </c>
      <c r="AM9" s="33">
        <f>3*'[2]Труд_по старости'!AR9</f>
        <v>7248</v>
      </c>
      <c r="AN9" s="78">
        <f>3*'[2]Труд_по старости'!AS9</f>
        <v>6687.75</v>
      </c>
      <c r="AO9" s="96">
        <f t="shared" si="18"/>
        <v>8335.199999999999</v>
      </c>
      <c r="AP9" s="114">
        <f>1926.53+1000</f>
        <v>2926.5299999999997</v>
      </c>
      <c r="AQ9" s="96">
        <f t="shared" si="19"/>
        <v>11261.73</v>
      </c>
      <c r="AR9" s="96">
        <f t="shared" si="20"/>
        <v>8697.6</v>
      </c>
      <c r="AS9" s="114">
        <f t="shared" si="21"/>
        <v>11624.130000000001</v>
      </c>
      <c r="AT9" s="96">
        <f t="shared" si="22"/>
        <v>9422.4</v>
      </c>
      <c r="AU9" s="96">
        <f t="shared" si="23"/>
        <v>12348.93</v>
      </c>
      <c r="AV9" s="96">
        <f t="shared" si="24"/>
        <v>10147.199999999999</v>
      </c>
      <c r="AW9" s="114">
        <f t="shared" si="25"/>
        <v>13073.73</v>
      </c>
      <c r="AX9" s="96">
        <f t="shared" si="26"/>
        <v>10872</v>
      </c>
      <c r="AY9" s="96">
        <f t="shared" si="27"/>
        <v>13798.529999999999</v>
      </c>
      <c r="AZ9" s="96">
        <f t="shared" si="28"/>
        <v>11596.800000000001</v>
      </c>
      <c r="BA9" s="96">
        <f t="shared" si="29"/>
        <v>14523.330000000002</v>
      </c>
      <c r="BB9" s="96">
        <f t="shared" si="30"/>
        <v>12321.6</v>
      </c>
      <c r="BC9" s="96">
        <f t="shared" si="31"/>
        <v>15248.130000000001</v>
      </c>
      <c r="BD9" s="114">
        <f t="shared" si="32"/>
        <v>13046.4</v>
      </c>
      <c r="BE9" s="96">
        <f t="shared" si="33"/>
        <v>15972.93</v>
      </c>
      <c r="BF9" s="96">
        <f t="shared" si="34"/>
        <v>14496</v>
      </c>
      <c r="BG9" s="96">
        <f t="shared" si="35"/>
        <v>17422.53</v>
      </c>
      <c r="BH9" s="42">
        <f>3*'[2]Труд_по старости'!DE9</f>
        <v>6600.24</v>
      </c>
      <c r="BI9" s="42">
        <f>3*'[2]Труд_по старости'!DF9</f>
        <v>7800</v>
      </c>
      <c r="BJ9" s="78">
        <f>3*'[2]Труд_по старости'!BP9</f>
        <v>6240</v>
      </c>
      <c r="BK9" s="33">
        <f t="shared" si="36"/>
        <v>1200</v>
      </c>
      <c r="BL9" s="33">
        <f>3*'[2]Труд_по старости'!BR9</f>
        <v>5808</v>
      </c>
      <c r="BM9" s="38">
        <f t="shared" si="37"/>
        <v>768</v>
      </c>
      <c r="BN9" s="33">
        <f>ROUND(3*'[2]Труд_по старости'!BT9,2)</f>
        <v>7176</v>
      </c>
      <c r="BO9" s="38">
        <f t="shared" si="38"/>
        <v>936</v>
      </c>
    </row>
    <row r="10" spans="1:67" ht="12.75">
      <c r="A10" s="34" t="s">
        <v>75</v>
      </c>
      <c r="B10" s="34"/>
      <c r="C10" s="42">
        <f>ROUND('[2]Труд_по старости'!B10*3,2)</f>
        <v>2250</v>
      </c>
      <c r="D10" s="42">
        <f>ROUND('[2]Труд_по старости'!C10*3,2)</f>
        <v>2396.25</v>
      </c>
      <c r="E10" s="42">
        <f>ROUND('[2]Труд_по старости'!D10*3,2)</f>
        <v>2611.92</v>
      </c>
      <c r="F10" s="42">
        <f t="shared" si="0"/>
        <v>156.7199999999998</v>
      </c>
      <c r="G10" s="42">
        <f>ROUND('[2]Труд_по старости'!F10*3,2)</f>
        <v>2768.64</v>
      </c>
      <c r="H10" s="33">
        <f>ROUND('[2]Труд_по старости'!G10*3,2)</f>
        <v>2990.13</v>
      </c>
      <c r="I10" s="42">
        <f t="shared" si="1"/>
        <v>378.21000000000004</v>
      </c>
      <c r="J10" s="42">
        <f>ROUND('[2]Труд_по старости'!I10*3,2)</f>
        <v>3105.03</v>
      </c>
      <c r="K10" s="42">
        <f t="shared" si="2"/>
        <v>114.90000000000009</v>
      </c>
      <c r="L10" s="33">
        <f>ROUND('[2]Труд_по старости'!K10*3,2)</f>
        <v>3300.03</v>
      </c>
      <c r="M10" s="33">
        <f t="shared" si="3"/>
        <v>309.9000000000001</v>
      </c>
      <c r="N10" s="33">
        <f>ROUND('[2]Труд_по старости'!M10*3,2)</f>
        <v>4500.03</v>
      </c>
      <c r="O10" s="33">
        <f t="shared" si="4"/>
        <v>1199.9999999999995</v>
      </c>
      <c r="P10" s="72">
        <f>ROUND('[2]Труд_по старости'!O10*3,2)</f>
        <v>4500</v>
      </c>
      <c r="Q10" s="46">
        <f t="shared" si="5"/>
        <v>1199.9699999999998</v>
      </c>
      <c r="R10" s="51">
        <f t="shared" si="6"/>
        <v>5175</v>
      </c>
      <c r="S10" s="46">
        <f t="shared" si="7"/>
        <v>6210</v>
      </c>
      <c r="T10" s="46">
        <f t="shared" si="8"/>
        <v>9000</v>
      </c>
      <c r="U10" s="8">
        <f t="shared" si="9"/>
        <v>1656</v>
      </c>
      <c r="V10" s="33">
        <f t="shared" si="10"/>
        <v>2400</v>
      </c>
      <c r="W10">
        <f t="shared" si="11"/>
        <v>1656</v>
      </c>
      <c r="X10" s="38">
        <f>ROUND('[2]Труд_по старости'!X10*3,2)</f>
        <v>4770</v>
      </c>
      <c r="Y10" s="33">
        <f t="shared" si="12"/>
        <v>5056.2</v>
      </c>
      <c r="Z10" s="42">
        <f>ROUND('[2]Труд_по старости'!AA10*3,2)</f>
        <v>5175.45</v>
      </c>
      <c r="AA10" s="33">
        <f t="shared" si="13"/>
        <v>286.1999999999998</v>
      </c>
      <c r="AB10" s="42">
        <f t="shared" si="14"/>
        <v>405.4499999999998</v>
      </c>
      <c r="AC10" s="33">
        <f>'[2]Труд_по старости'!AD10*3</f>
        <v>5563.62</v>
      </c>
      <c r="AD10" s="42">
        <f t="shared" si="15"/>
        <v>388.1700000000001</v>
      </c>
      <c r="AE10" s="33">
        <f>'[2]Труд_по старости'!AF10*3</f>
        <v>6300</v>
      </c>
      <c r="AF10" s="33">
        <f t="shared" si="16"/>
        <v>736.3800000000001</v>
      </c>
      <c r="AG10" s="42">
        <f t="shared" si="17"/>
        <v>1124.5500000000002</v>
      </c>
      <c r="AH10" s="42">
        <f>ROUND('[2]Труд_по старости'!AI10*3,2)</f>
        <v>6741</v>
      </c>
      <c r="AI10" s="42">
        <f>3*'[2]Труд_по старости'!AJ10</f>
        <v>6646.5</v>
      </c>
      <c r="AJ10" s="42">
        <f>ROUND(3*'[2]Труд_по старости'!AK10,2)</f>
        <v>7725</v>
      </c>
      <c r="AK10" s="33">
        <f>3*'[2]Труд_по старости'!AL10</f>
        <v>7620</v>
      </c>
      <c r="AL10" s="33">
        <f>3*'[2]Труд_по старости'!AQ10</f>
        <v>8039.099999999999</v>
      </c>
      <c r="AM10" s="33">
        <f>3*'[2]Труд_по старости'!AR10</f>
        <v>9060</v>
      </c>
      <c r="AN10" s="78">
        <f>3*'[2]Труд_по старости'!AS10</f>
        <v>8359.710000000001</v>
      </c>
      <c r="AO10" s="96">
        <f t="shared" si="18"/>
        <v>10419</v>
      </c>
      <c r="AP10" s="114">
        <f>1926.53+1000</f>
        <v>2926.5299999999997</v>
      </c>
      <c r="AQ10" s="96">
        <f t="shared" si="19"/>
        <v>13345.529999999999</v>
      </c>
      <c r="AR10" s="96">
        <f t="shared" si="20"/>
        <v>10872</v>
      </c>
      <c r="AS10" s="114">
        <f t="shared" si="21"/>
        <v>13798.529999999999</v>
      </c>
      <c r="AT10" s="96">
        <f t="shared" si="22"/>
        <v>11778</v>
      </c>
      <c r="AU10" s="96">
        <f t="shared" si="23"/>
        <v>14704.529999999999</v>
      </c>
      <c r="AV10" s="96">
        <f t="shared" si="24"/>
        <v>12684</v>
      </c>
      <c r="AW10" s="114">
        <f t="shared" si="25"/>
        <v>15610.529999999999</v>
      </c>
      <c r="AX10" s="96">
        <f t="shared" si="26"/>
        <v>13590</v>
      </c>
      <c r="AY10" s="96">
        <f t="shared" si="27"/>
        <v>16516.53</v>
      </c>
      <c r="AZ10" s="96">
        <f t="shared" si="28"/>
        <v>14496</v>
      </c>
      <c r="BA10" s="96">
        <f t="shared" si="29"/>
        <v>17422.53</v>
      </c>
      <c r="BB10" s="96">
        <f t="shared" si="30"/>
        <v>15402</v>
      </c>
      <c r="BC10" s="96">
        <f t="shared" si="31"/>
        <v>18328.53</v>
      </c>
      <c r="BD10" s="114">
        <f t="shared" si="32"/>
        <v>16308</v>
      </c>
      <c r="BE10" s="96">
        <f t="shared" si="33"/>
        <v>19234.53</v>
      </c>
      <c r="BF10" s="96">
        <f t="shared" si="34"/>
        <v>18120</v>
      </c>
      <c r="BG10" s="96">
        <f t="shared" si="35"/>
        <v>21046.53</v>
      </c>
      <c r="BH10" s="42">
        <f>3*'[2]Труд_по старости'!DE10</f>
        <v>8250.3</v>
      </c>
      <c r="BI10" s="42">
        <f>3*'[2]Труд_по старости'!DF10</f>
        <v>9750</v>
      </c>
      <c r="BJ10" s="78">
        <f>3*'[2]Труд_по старости'!BP10</f>
        <v>7800</v>
      </c>
      <c r="BK10" s="33">
        <f t="shared" si="36"/>
        <v>1500</v>
      </c>
      <c r="BL10" s="33">
        <f>3*'[2]Труд_по старости'!BR10</f>
        <v>7260</v>
      </c>
      <c r="BM10" s="38">
        <f t="shared" si="37"/>
        <v>960</v>
      </c>
      <c r="BN10" s="33">
        <f>ROUND(3*'[2]Труд_по старости'!BT10,2)</f>
        <v>8970</v>
      </c>
      <c r="BO10" s="38">
        <f t="shared" si="38"/>
        <v>1170</v>
      </c>
    </row>
    <row r="11" spans="1:67" ht="12.75">
      <c r="A11" s="34" t="s">
        <v>76</v>
      </c>
      <c r="B11" s="34"/>
      <c r="C11" s="42">
        <f>ROUND('[2]Труд_по старости'!B11*3,2)</f>
        <v>2700</v>
      </c>
      <c r="D11" s="42">
        <f>ROUND('[2]Труд_по старости'!C11*3,2)</f>
        <v>2875.5</v>
      </c>
      <c r="E11" s="42">
        <f>ROUND('[2]Труд_по старости'!D11*3,2)</f>
        <v>3134.31</v>
      </c>
      <c r="F11" s="42">
        <f t="shared" si="0"/>
        <v>188.07000000000016</v>
      </c>
      <c r="G11" s="42">
        <f>ROUND('[2]Труд_по старости'!F11*3,2)</f>
        <v>3322.38</v>
      </c>
      <c r="H11" s="33">
        <f>ROUND('[2]Труд_по старости'!G11*3,2)</f>
        <v>3588.18</v>
      </c>
      <c r="I11" s="42">
        <f t="shared" si="1"/>
        <v>453.8699999999999</v>
      </c>
      <c r="J11" s="42">
        <f>ROUND('[2]Труд_по старости'!I11*3,2)</f>
        <v>3726.06</v>
      </c>
      <c r="K11" s="42">
        <f t="shared" si="2"/>
        <v>137.8800000000001</v>
      </c>
      <c r="L11" s="33">
        <f>ROUND('[2]Труд_по старости'!K11*3,2)</f>
        <v>3960.06</v>
      </c>
      <c r="M11" s="33">
        <f t="shared" si="3"/>
        <v>371.8800000000001</v>
      </c>
      <c r="N11" s="33">
        <f>ROUND('[2]Труд_по старости'!M11*3,2)</f>
        <v>5400.09</v>
      </c>
      <c r="O11" s="33">
        <f t="shared" si="4"/>
        <v>1440.0300000000002</v>
      </c>
      <c r="P11" s="72">
        <f>ROUND('[2]Труд_по старости'!O11*3,2)</f>
        <v>5400</v>
      </c>
      <c r="Q11" s="46">
        <f t="shared" si="5"/>
        <v>1439.94</v>
      </c>
      <c r="R11" s="51">
        <f t="shared" si="6"/>
        <v>6210</v>
      </c>
      <c r="S11" s="46">
        <f t="shared" si="7"/>
        <v>7452</v>
      </c>
      <c r="T11" s="46">
        <f t="shared" si="8"/>
        <v>10800</v>
      </c>
      <c r="U11" s="8">
        <f t="shared" si="9"/>
        <v>1987</v>
      </c>
      <c r="V11" s="33">
        <f t="shared" si="10"/>
        <v>2880</v>
      </c>
      <c r="W11">
        <f t="shared" si="11"/>
        <v>1987</v>
      </c>
      <c r="X11" s="38">
        <f>ROUND('[2]Труд_по старости'!X11*3,2)</f>
        <v>5724</v>
      </c>
      <c r="Y11" s="33">
        <f t="shared" si="12"/>
        <v>6067.4400000000005</v>
      </c>
      <c r="Z11" s="42">
        <f>ROUND('[2]Труд_по старости'!AA11*3,2)</f>
        <v>6210.54</v>
      </c>
      <c r="AA11" s="33">
        <f t="shared" si="13"/>
        <v>343.4400000000005</v>
      </c>
      <c r="AB11" s="42">
        <f t="shared" si="14"/>
        <v>486.53999999999996</v>
      </c>
      <c r="AC11" s="33">
        <f>'[2]Труд_по старости'!AD11*3</f>
        <v>6676.32</v>
      </c>
      <c r="AD11" s="42">
        <f t="shared" si="15"/>
        <v>465.77999999999975</v>
      </c>
      <c r="AE11" s="33">
        <f>'[2]Труд_по старости'!AF11*3</f>
        <v>7560</v>
      </c>
      <c r="AF11" s="33">
        <f t="shared" si="16"/>
        <v>883.6800000000003</v>
      </c>
      <c r="AG11" s="42">
        <f t="shared" si="17"/>
        <v>1349.46</v>
      </c>
      <c r="AH11" s="42">
        <f>ROUND('[2]Труд_по старости'!AI11*3,2)</f>
        <v>8089.2</v>
      </c>
      <c r="AI11" s="42">
        <f>3*'[2]Труд_по старости'!AJ11</f>
        <v>7975.799999999999</v>
      </c>
      <c r="AJ11" s="42">
        <f>ROUND(3*'[2]Труд_по старости'!AK11,2)</f>
        <v>9270</v>
      </c>
      <c r="AK11" s="33">
        <f>3*'[2]Труд_по старости'!AL11</f>
        <v>9144</v>
      </c>
      <c r="AL11" s="33">
        <f>3*'[2]Труд_по старости'!AQ11</f>
        <v>9646.92</v>
      </c>
      <c r="AM11" s="33">
        <f>3*'[2]Труд_по старости'!AR11</f>
        <v>10872</v>
      </c>
      <c r="AN11" s="78">
        <f>3*'[2]Труд_по старости'!AS11</f>
        <v>10031.64</v>
      </c>
      <c r="AO11" s="96">
        <f t="shared" si="18"/>
        <v>12502.8</v>
      </c>
      <c r="AP11" s="114">
        <f>1926.53+1000</f>
        <v>2926.5299999999997</v>
      </c>
      <c r="AQ11" s="96">
        <f t="shared" si="19"/>
        <v>15429.329999999998</v>
      </c>
      <c r="AR11" s="96">
        <f t="shared" si="20"/>
        <v>13046.4</v>
      </c>
      <c r="AS11" s="114">
        <f t="shared" si="21"/>
        <v>15972.93</v>
      </c>
      <c r="AT11" s="96">
        <f t="shared" si="22"/>
        <v>14133.6</v>
      </c>
      <c r="AU11" s="96">
        <f t="shared" si="23"/>
        <v>17060.13</v>
      </c>
      <c r="AV11" s="96">
        <f t="shared" si="24"/>
        <v>15220.8</v>
      </c>
      <c r="AW11" s="114">
        <f t="shared" si="25"/>
        <v>18147.329999999998</v>
      </c>
      <c r="AX11" s="96">
        <f t="shared" si="26"/>
        <v>16308</v>
      </c>
      <c r="AY11" s="96">
        <f t="shared" si="27"/>
        <v>19234.53</v>
      </c>
      <c r="AZ11" s="96">
        <f t="shared" si="28"/>
        <v>17395.2</v>
      </c>
      <c r="BA11" s="96">
        <f t="shared" si="29"/>
        <v>20321.73</v>
      </c>
      <c r="BB11" s="96">
        <f t="shared" si="30"/>
        <v>18482.399999999998</v>
      </c>
      <c r="BC11" s="96">
        <f t="shared" si="31"/>
        <v>21408.929999999997</v>
      </c>
      <c r="BD11" s="114">
        <f t="shared" si="32"/>
        <v>19569.600000000002</v>
      </c>
      <c r="BE11" s="96">
        <f t="shared" si="33"/>
        <v>22496.13</v>
      </c>
      <c r="BF11" s="96">
        <f t="shared" si="34"/>
        <v>21744</v>
      </c>
      <c r="BG11" s="96">
        <f t="shared" si="35"/>
        <v>24670.53</v>
      </c>
      <c r="BH11" s="42">
        <f>3*'[2]Труд_по старости'!DE11</f>
        <v>9900.36</v>
      </c>
      <c r="BI11" s="42">
        <f>3*'[2]Труд_по старости'!DF11</f>
        <v>11700.0000180756</v>
      </c>
      <c r="BJ11" s="78">
        <f>3*'[2]Труд_по старости'!BP11</f>
        <v>9360</v>
      </c>
      <c r="BK11" s="33">
        <f t="shared" si="36"/>
        <v>1800</v>
      </c>
      <c r="BL11" s="33">
        <f>3*'[2]Труд_по старости'!BR11</f>
        <v>8712</v>
      </c>
      <c r="BM11" s="38">
        <f t="shared" si="37"/>
        <v>1152</v>
      </c>
      <c r="BN11" s="33">
        <f>ROUND(3*'[2]Труд_по старости'!BT11,2)</f>
        <v>10764</v>
      </c>
      <c r="BO11" s="38">
        <f t="shared" si="38"/>
        <v>1404</v>
      </c>
    </row>
    <row r="12" spans="1:67" ht="12.75">
      <c r="A12" s="32" t="s">
        <v>90</v>
      </c>
      <c r="B12" s="32" t="s">
        <v>103</v>
      </c>
      <c r="C12" s="42"/>
      <c r="D12" s="42"/>
      <c r="E12" s="42"/>
      <c r="F12" s="42">
        <f t="shared" si="0"/>
        <v>0</v>
      </c>
      <c r="G12" s="42">
        <f>ROUND(E12*1.06,2)</f>
        <v>0</v>
      </c>
      <c r="H12" s="33">
        <f>ROUND('[2]Труд_по старости'!G12*3,2)</f>
        <v>0</v>
      </c>
      <c r="I12" s="42">
        <f t="shared" si="1"/>
        <v>0</v>
      </c>
      <c r="J12" s="42">
        <f>ROUND(H12*J$5,2)</f>
        <v>0</v>
      </c>
      <c r="K12" s="42">
        <f t="shared" si="2"/>
        <v>0</v>
      </c>
      <c r="L12" s="33">
        <f>ROUND(J12*1.06280193,2)</f>
        <v>0</v>
      </c>
      <c r="M12" s="33">
        <f t="shared" si="3"/>
        <v>0</v>
      </c>
      <c r="N12" s="33">
        <f>ROUND(L12*N$5,2)</f>
        <v>0</v>
      </c>
      <c r="O12" s="33">
        <f t="shared" si="4"/>
        <v>0</v>
      </c>
      <c r="P12" s="72"/>
      <c r="Q12" s="46">
        <f t="shared" si="5"/>
        <v>0</v>
      </c>
      <c r="R12" s="51">
        <f t="shared" si="6"/>
        <v>0</v>
      </c>
      <c r="S12" s="46">
        <f t="shared" si="7"/>
        <v>0</v>
      </c>
      <c r="T12" s="46">
        <f t="shared" si="8"/>
        <v>0</v>
      </c>
      <c r="U12" s="8">
        <f t="shared" si="9"/>
        <v>0</v>
      </c>
      <c r="V12" s="33">
        <f t="shared" si="10"/>
        <v>0</v>
      </c>
      <c r="W12">
        <f t="shared" si="11"/>
        <v>0</v>
      </c>
      <c r="X12" s="38"/>
      <c r="Y12" s="33">
        <f t="shared" si="12"/>
        <v>0</v>
      </c>
      <c r="Z12" s="42">
        <f>X12*1.085</f>
        <v>0</v>
      </c>
      <c r="AA12" s="33">
        <f t="shared" si="13"/>
        <v>0</v>
      </c>
      <c r="AB12" s="42">
        <f t="shared" si="14"/>
        <v>0</v>
      </c>
      <c r="AC12" s="33"/>
      <c r="AD12" s="42">
        <f t="shared" si="15"/>
        <v>0</v>
      </c>
      <c r="AE12" s="33"/>
      <c r="AF12" s="33">
        <f t="shared" si="16"/>
        <v>0</v>
      </c>
      <c r="AG12" s="42">
        <f t="shared" si="17"/>
        <v>0</v>
      </c>
      <c r="AH12" s="42"/>
      <c r="AI12" s="34"/>
      <c r="AJ12" s="34"/>
      <c r="AK12" s="34"/>
      <c r="AL12" s="34"/>
      <c r="AM12" s="34"/>
      <c r="AN12" s="113"/>
      <c r="AO12" s="96">
        <f t="shared" si="18"/>
        <v>0</v>
      </c>
      <c r="AP12" s="114"/>
      <c r="AQ12" s="96">
        <f t="shared" si="19"/>
        <v>0</v>
      </c>
      <c r="AR12" s="96">
        <f t="shared" si="20"/>
        <v>0</v>
      </c>
      <c r="AS12" s="114">
        <f t="shared" si="21"/>
        <v>0</v>
      </c>
      <c r="AT12" s="96">
        <f t="shared" si="22"/>
        <v>0</v>
      </c>
      <c r="AU12" s="96">
        <f t="shared" si="23"/>
        <v>0</v>
      </c>
      <c r="AV12" s="96">
        <f t="shared" si="24"/>
        <v>0</v>
      </c>
      <c r="AW12" s="114">
        <f t="shared" si="25"/>
        <v>0</v>
      </c>
      <c r="AX12" s="96">
        <f t="shared" si="26"/>
        <v>0</v>
      </c>
      <c r="AY12" s="96">
        <f t="shared" si="27"/>
        <v>0</v>
      </c>
      <c r="AZ12" s="96">
        <f t="shared" si="28"/>
        <v>0</v>
      </c>
      <c r="BA12" s="96">
        <f t="shared" si="29"/>
        <v>0</v>
      </c>
      <c r="BB12" s="96">
        <f t="shared" si="30"/>
        <v>0</v>
      </c>
      <c r="BC12" s="96">
        <f t="shared" si="31"/>
        <v>0</v>
      </c>
      <c r="BD12" s="114">
        <f t="shared" si="32"/>
        <v>0</v>
      </c>
      <c r="BE12" s="96">
        <f t="shared" si="33"/>
        <v>0</v>
      </c>
      <c r="BF12" s="96">
        <f t="shared" si="34"/>
        <v>0</v>
      </c>
      <c r="BG12" s="96">
        <f t="shared" si="35"/>
        <v>0</v>
      </c>
      <c r="BH12" s="34"/>
      <c r="BI12" s="34"/>
      <c r="BJ12" s="78"/>
      <c r="BK12" s="33">
        <f t="shared" si="36"/>
        <v>0</v>
      </c>
      <c r="BL12" s="33"/>
      <c r="BM12" s="38">
        <f t="shared" si="37"/>
        <v>0</v>
      </c>
      <c r="BN12" s="33"/>
      <c r="BO12" s="38">
        <f t="shared" si="38"/>
        <v>0</v>
      </c>
    </row>
    <row r="13" spans="1:67" ht="12.75">
      <c r="A13" s="34" t="s">
        <v>73</v>
      </c>
      <c r="B13" s="34"/>
      <c r="C13" s="42">
        <f>ROUND('[2]Труд_по старости'!B8*2.5,2)</f>
        <v>1125</v>
      </c>
      <c r="D13" s="42">
        <f>ROUND('[2]Труд_по старости'!C8*2.5,2)</f>
        <v>1198.13</v>
      </c>
      <c r="E13" s="42">
        <f>ROUND('[2]Труд_по старости'!D8*2.5,2)</f>
        <v>1305.95</v>
      </c>
      <c r="F13" s="42">
        <f t="shared" si="0"/>
        <v>78.34999999999991</v>
      </c>
      <c r="G13" s="42">
        <f>ROUND('[2]Труд_по старости'!F8*2.5,2)</f>
        <v>1384.3</v>
      </c>
      <c r="H13" s="33">
        <f>ROUND('[2]Труд_по старости'!G8*2.5,2)</f>
        <v>1495.05</v>
      </c>
      <c r="I13" s="42">
        <f t="shared" si="1"/>
        <v>189.0999999999999</v>
      </c>
      <c r="J13" s="42">
        <f>ROUND('[2]Труд_по старости'!I8*2.5,2)</f>
        <v>1552.5</v>
      </c>
      <c r="K13" s="42">
        <f t="shared" si="2"/>
        <v>57.450000000000045</v>
      </c>
      <c r="L13" s="45">
        <f>ROUND('[2]Труд_по старости'!K8*2.5,2)</f>
        <v>1650</v>
      </c>
      <c r="M13" s="45">
        <f t="shared" si="3"/>
        <v>154.95000000000005</v>
      </c>
      <c r="N13" s="45">
        <f>ROUND('[2]Труд_по старости'!M8*2.5,2)</f>
        <v>2250</v>
      </c>
      <c r="O13" s="45">
        <f t="shared" si="4"/>
        <v>600</v>
      </c>
      <c r="P13" s="115">
        <f>ROUND('[2]Труд_по старости'!O8*2.5,2)</f>
        <v>2250</v>
      </c>
      <c r="Q13" s="48">
        <f t="shared" si="5"/>
        <v>600</v>
      </c>
      <c r="R13" s="47">
        <f t="shared" si="6"/>
        <v>2587.5</v>
      </c>
      <c r="S13" s="48">
        <f t="shared" si="7"/>
        <v>3105</v>
      </c>
      <c r="T13" s="48">
        <f t="shared" si="8"/>
        <v>4500</v>
      </c>
      <c r="U13" s="11">
        <f t="shared" si="9"/>
        <v>828</v>
      </c>
      <c r="V13" s="49">
        <f t="shared" si="10"/>
        <v>1200</v>
      </c>
      <c r="W13">
        <f t="shared" si="11"/>
        <v>828</v>
      </c>
      <c r="X13" s="38">
        <f>ROUND('[2]Труд_по старости'!X8*2.5,2)</f>
        <v>2385</v>
      </c>
      <c r="Y13" s="33">
        <f t="shared" si="12"/>
        <v>2528.1</v>
      </c>
      <c r="Z13" s="42">
        <f>ROUND('[2]Труд_по старости'!AA8*2.5,2)</f>
        <v>2587.73</v>
      </c>
      <c r="AA13" s="33">
        <f t="shared" si="13"/>
        <v>143.0999999999999</v>
      </c>
      <c r="AB13" s="42">
        <f t="shared" si="14"/>
        <v>202.73000000000002</v>
      </c>
      <c r="AC13" s="42">
        <f>2.5*'[2]Труд_по старости'!AD8</f>
        <v>2781.8</v>
      </c>
      <c r="AD13" s="42">
        <f t="shared" si="15"/>
        <v>194.07000000000016</v>
      </c>
      <c r="AE13" s="33">
        <f>'[2]Труд_по старости'!AF8*2.5</f>
        <v>3150</v>
      </c>
      <c r="AF13" s="33">
        <f t="shared" si="16"/>
        <v>368.1999999999998</v>
      </c>
      <c r="AG13" s="42">
        <f t="shared" si="17"/>
        <v>562.27</v>
      </c>
      <c r="AH13" s="42">
        <f>ROUND(2.5*'[2]Труд_по старости'!AI8,2)</f>
        <v>3370.5</v>
      </c>
      <c r="AI13" s="42">
        <f>2.5*'[2]Труд_по старости'!AJ8</f>
        <v>3323.25</v>
      </c>
      <c r="AJ13" s="42">
        <f>ROUND(2.5*'[2]Труд_по старости'!AK8,2)</f>
        <v>3862.5</v>
      </c>
      <c r="AK13" s="72">
        <f>2.5*'[2]Труд_по старости'!AL8</f>
        <v>3810</v>
      </c>
      <c r="AL13" s="42">
        <f>2.5*'[2]Труд_по старости'!AQ8</f>
        <v>4019.5499999999997</v>
      </c>
      <c r="AM13" s="72">
        <f>2.5*'[2]Труд_по старости'!AR8</f>
        <v>4530</v>
      </c>
      <c r="AN13" s="116">
        <f>2.5*'[2]Труд_по старости'!AS8</f>
        <v>4179.85</v>
      </c>
      <c r="AO13" s="96">
        <f t="shared" si="18"/>
        <v>5209.5</v>
      </c>
      <c r="AP13" s="114">
        <f>1376.1+1000</f>
        <v>2376.1</v>
      </c>
      <c r="AQ13" s="96">
        <f t="shared" si="19"/>
        <v>7585.6</v>
      </c>
      <c r="AR13" s="96">
        <f t="shared" si="20"/>
        <v>5436</v>
      </c>
      <c r="AS13" s="114">
        <f t="shared" si="21"/>
        <v>7812.1</v>
      </c>
      <c r="AT13" s="96">
        <f t="shared" si="22"/>
        <v>5889</v>
      </c>
      <c r="AU13" s="96">
        <f t="shared" si="23"/>
        <v>8265.1</v>
      </c>
      <c r="AV13" s="96">
        <f t="shared" si="24"/>
        <v>6342</v>
      </c>
      <c r="AW13" s="114">
        <f t="shared" si="25"/>
        <v>8718.1</v>
      </c>
      <c r="AX13" s="96">
        <f t="shared" si="26"/>
        <v>6795</v>
      </c>
      <c r="AY13" s="96">
        <f t="shared" si="27"/>
        <v>9171.1</v>
      </c>
      <c r="AZ13" s="96">
        <f t="shared" si="28"/>
        <v>7248</v>
      </c>
      <c r="BA13" s="96">
        <f t="shared" si="29"/>
        <v>9624.1</v>
      </c>
      <c r="BB13" s="96">
        <f t="shared" si="30"/>
        <v>7701</v>
      </c>
      <c r="BC13" s="96">
        <f t="shared" si="31"/>
        <v>10077.1</v>
      </c>
      <c r="BD13" s="114">
        <f t="shared" si="32"/>
        <v>8154</v>
      </c>
      <c r="BE13" s="96">
        <f t="shared" si="33"/>
        <v>10530.1</v>
      </c>
      <c r="BF13" s="96">
        <f t="shared" si="34"/>
        <v>9060</v>
      </c>
      <c r="BG13" s="96">
        <f t="shared" si="35"/>
        <v>11436.1</v>
      </c>
      <c r="BH13" s="33">
        <f>2.5*'[2]Труд_по старости'!DE8</f>
        <v>4125.15</v>
      </c>
      <c r="BI13" s="33">
        <f>2.5*'[2]Труд_по старости'!DF8</f>
        <v>4875</v>
      </c>
      <c r="BJ13" s="78">
        <f>2.5*'[2]Труд_по старости'!BP8</f>
        <v>3900</v>
      </c>
      <c r="BK13" s="33">
        <f t="shared" si="36"/>
        <v>750</v>
      </c>
      <c r="BL13" s="33">
        <f>2.5*'[2]Труд_по старости'!BR8</f>
        <v>3630</v>
      </c>
      <c r="BM13" s="38">
        <f t="shared" si="37"/>
        <v>480</v>
      </c>
      <c r="BN13" s="33">
        <f>ROUND(2.5*'[2]Труд_по старости'!BT8,2)</f>
        <v>4485</v>
      </c>
      <c r="BO13" s="38">
        <f t="shared" si="38"/>
        <v>585</v>
      </c>
    </row>
    <row r="14" spans="1:67" ht="12.75">
      <c r="A14" s="34" t="s">
        <v>74</v>
      </c>
      <c r="B14" s="34"/>
      <c r="C14" s="42">
        <f>ROUND('[2]Труд_по старости'!B9*2.5,2)</f>
        <v>1500</v>
      </c>
      <c r="D14" s="42">
        <f>ROUND('[2]Труд_по старости'!C9*2.5,2)</f>
        <v>1597.5</v>
      </c>
      <c r="E14" s="42">
        <f>ROUND('[2]Труд_по старости'!D9*2.5,2)</f>
        <v>1741.28</v>
      </c>
      <c r="F14" s="42">
        <f t="shared" si="0"/>
        <v>104.47000000000003</v>
      </c>
      <c r="G14" s="42">
        <f>ROUND('[2]Труд_по старости'!F9*2.5,2)</f>
        <v>1845.75</v>
      </c>
      <c r="H14" s="33">
        <f>ROUND('[2]Труд_по старости'!G9*2.5,2)</f>
        <v>1993.4</v>
      </c>
      <c r="I14" s="42">
        <f t="shared" si="1"/>
        <v>252.12000000000012</v>
      </c>
      <c r="J14" s="42">
        <f>ROUND('[2]Труд_по старости'!I9*2.5,2)</f>
        <v>2070</v>
      </c>
      <c r="K14" s="42">
        <f t="shared" si="2"/>
        <v>76.59999999999991</v>
      </c>
      <c r="L14" s="33">
        <f>ROUND('[2]Труд_по старости'!K9*2.5,2)</f>
        <v>2200</v>
      </c>
      <c r="M14" s="33">
        <f t="shared" si="3"/>
        <v>206.5999999999999</v>
      </c>
      <c r="N14" s="33">
        <f>ROUND('[2]Труд_по старости'!M9*2.5,2)</f>
        <v>3000</v>
      </c>
      <c r="O14" s="33">
        <f t="shared" si="4"/>
        <v>800</v>
      </c>
      <c r="P14" s="72">
        <f>ROUND('[2]Труд_по старости'!O9*2.5,2)</f>
        <v>3000</v>
      </c>
      <c r="Q14" s="46">
        <f t="shared" si="5"/>
        <v>800</v>
      </c>
      <c r="R14" s="51">
        <f t="shared" si="6"/>
        <v>3450</v>
      </c>
      <c r="S14" s="46">
        <f t="shared" si="7"/>
        <v>4140</v>
      </c>
      <c r="T14" s="46">
        <f t="shared" si="8"/>
        <v>6000</v>
      </c>
      <c r="U14" s="8">
        <f t="shared" si="9"/>
        <v>1104</v>
      </c>
      <c r="V14" s="33">
        <f t="shared" si="10"/>
        <v>1600</v>
      </c>
      <c r="W14">
        <f t="shared" si="11"/>
        <v>1104</v>
      </c>
      <c r="X14" s="38">
        <f>ROUND('[2]Труд_по старости'!X9*2.5,2)</f>
        <v>3180</v>
      </c>
      <c r="Y14" s="33">
        <f t="shared" si="12"/>
        <v>3370.8</v>
      </c>
      <c r="Z14" s="42">
        <f>ROUND('[2]Труд_по старости'!AA9*2.5,2)</f>
        <v>3450.3</v>
      </c>
      <c r="AA14" s="33">
        <f t="shared" si="13"/>
        <v>190.80000000000018</v>
      </c>
      <c r="AB14" s="42">
        <f t="shared" si="14"/>
        <v>270.3000000000002</v>
      </c>
      <c r="AC14" s="42">
        <f>2.5*'[2]Труд_по старости'!AD9</f>
        <v>3709.0750000000003</v>
      </c>
      <c r="AD14" s="42">
        <f t="shared" si="15"/>
        <v>258.7750000000001</v>
      </c>
      <c r="AE14" s="33">
        <f>'[2]Труд_по старости'!AF9*2.5</f>
        <v>4200</v>
      </c>
      <c r="AF14" s="33">
        <f t="shared" si="16"/>
        <v>490.9249999999997</v>
      </c>
      <c r="AG14" s="42">
        <f t="shared" si="17"/>
        <v>749.6999999999998</v>
      </c>
      <c r="AH14" s="42">
        <f>ROUND(2.5*'[2]Труд_по старости'!AI9,2)</f>
        <v>4494</v>
      </c>
      <c r="AI14" s="42">
        <f>2.5*'[2]Труд_по старости'!AJ9</f>
        <v>4431</v>
      </c>
      <c r="AJ14" s="42">
        <f>ROUND(2.5*'[2]Труд_по старости'!AK9,2)</f>
        <v>5150</v>
      </c>
      <c r="AK14" s="72">
        <f>2.5*'[2]Труд_по старости'!AL9</f>
        <v>5080</v>
      </c>
      <c r="AL14" s="42">
        <f>2.5*'[2]Труд_по старости'!AQ9</f>
        <v>5359.400000000001</v>
      </c>
      <c r="AM14" s="72">
        <f>2.5*'[2]Труд_по старости'!AR9</f>
        <v>6040</v>
      </c>
      <c r="AN14" s="116">
        <f>2.5*'[2]Труд_по старости'!AS9</f>
        <v>5573.125</v>
      </c>
      <c r="AO14" s="96">
        <f t="shared" si="18"/>
        <v>6945.999999999999</v>
      </c>
      <c r="AP14" s="114">
        <f>1376.1+1000</f>
        <v>2376.1</v>
      </c>
      <c r="AQ14" s="96">
        <f t="shared" si="19"/>
        <v>9322.099999999999</v>
      </c>
      <c r="AR14" s="96">
        <f t="shared" si="20"/>
        <v>7248</v>
      </c>
      <c r="AS14" s="114">
        <f t="shared" si="21"/>
        <v>9624.1</v>
      </c>
      <c r="AT14" s="96">
        <f t="shared" si="22"/>
        <v>7852</v>
      </c>
      <c r="AU14" s="96">
        <f t="shared" si="23"/>
        <v>10228.1</v>
      </c>
      <c r="AV14" s="96">
        <f t="shared" si="24"/>
        <v>8456</v>
      </c>
      <c r="AW14" s="114">
        <f t="shared" si="25"/>
        <v>10832.1</v>
      </c>
      <c r="AX14" s="96">
        <f t="shared" si="26"/>
        <v>9060</v>
      </c>
      <c r="AY14" s="96">
        <f t="shared" si="27"/>
        <v>11436.1</v>
      </c>
      <c r="AZ14" s="96">
        <f t="shared" si="28"/>
        <v>9664</v>
      </c>
      <c r="BA14" s="96">
        <f t="shared" si="29"/>
        <v>12040.1</v>
      </c>
      <c r="BB14" s="96">
        <f t="shared" si="30"/>
        <v>10268</v>
      </c>
      <c r="BC14" s="96">
        <f t="shared" si="31"/>
        <v>12644.1</v>
      </c>
      <c r="BD14" s="114">
        <f t="shared" si="32"/>
        <v>10872</v>
      </c>
      <c r="BE14" s="96">
        <f t="shared" si="33"/>
        <v>13248.1</v>
      </c>
      <c r="BF14" s="96">
        <f t="shared" si="34"/>
        <v>12080</v>
      </c>
      <c r="BG14" s="96">
        <f t="shared" si="35"/>
        <v>14456.1</v>
      </c>
      <c r="BH14" s="33">
        <f>2.5*'[2]Труд_по старости'!DE9</f>
        <v>5500.2</v>
      </c>
      <c r="BI14" s="33">
        <f>2.5*'[2]Труд_по старости'!DF9</f>
        <v>6500</v>
      </c>
      <c r="BJ14" s="78">
        <f>2.5*'[2]Труд_по старости'!BP9</f>
        <v>5200</v>
      </c>
      <c r="BK14" s="33">
        <f t="shared" si="36"/>
        <v>1000</v>
      </c>
      <c r="BL14" s="33">
        <f>2.5*'[2]Труд_по старости'!BR9</f>
        <v>4840</v>
      </c>
      <c r="BM14" s="38">
        <f t="shared" si="37"/>
        <v>640</v>
      </c>
      <c r="BN14" s="33">
        <f>ROUND(2.5*'[2]Труд_по старости'!BT9,2)</f>
        <v>5980</v>
      </c>
      <c r="BO14" s="38">
        <f t="shared" si="38"/>
        <v>780</v>
      </c>
    </row>
    <row r="15" spans="1:67" ht="12.75">
      <c r="A15" s="34" t="s">
        <v>75</v>
      </c>
      <c r="B15" s="34"/>
      <c r="C15" s="42">
        <f>ROUND('[2]Труд_по старости'!B10*2.5,2)</f>
        <v>1875</v>
      </c>
      <c r="D15" s="42">
        <f>ROUND('[2]Труд_по старости'!C10*2.5,2)</f>
        <v>1996.88</v>
      </c>
      <c r="E15" s="42">
        <f>ROUND('[2]Труд_по старости'!D10*2.5,2)</f>
        <v>2176.6</v>
      </c>
      <c r="F15" s="42">
        <f t="shared" si="0"/>
        <v>130.5999999999999</v>
      </c>
      <c r="G15" s="42">
        <f>ROUND('[2]Труд_по старости'!F10*2.5,2)</f>
        <v>2307.2</v>
      </c>
      <c r="H15" s="33">
        <f>ROUND('[2]Труд_по старости'!G10*2.5,2)</f>
        <v>2491.78</v>
      </c>
      <c r="I15" s="42">
        <f t="shared" si="1"/>
        <v>315.1800000000003</v>
      </c>
      <c r="J15" s="42">
        <f>ROUND('[2]Труд_по старости'!I10*2.5,2)</f>
        <v>2587.53</v>
      </c>
      <c r="K15" s="42">
        <f t="shared" si="2"/>
        <v>95.75</v>
      </c>
      <c r="L15" s="33">
        <f>ROUND('[2]Труд_по старости'!K10*2.5,2)</f>
        <v>2750.03</v>
      </c>
      <c r="M15" s="33">
        <f t="shared" si="3"/>
        <v>258.25</v>
      </c>
      <c r="N15" s="33">
        <f>ROUND('[2]Труд_по старости'!M10*2.5,2)</f>
        <v>3750.03</v>
      </c>
      <c r="O15" s="33">
        <f t="shared" si="4"/>
        <v>1000</v>
      </c>
      <c r="P15" s="72">
        <f>ROUND('[2]Труд_по старости'!O10*2.5,2)</f>
        <v>3750</v>
      </c>
      <c r="Q15" s="46">
        <f t="shared" si="5"/>
        <v>999.9699999999998</v>
      </c>
      <c r="R15" s="51">
        <f t="shared" si="6"/>
        <v>4312.5</v>
      </c>
      <c r="S15" s="46">
        <f t="shared" si="7"/>
        <v>5175</v>
      </c>
      <c r="T15" s="46">
        <f t="shared" si="8"/>
        <v>7500</v>
      </c>
      <c r="U15" s="8">
        <f t="shared" si="9"/>
        <v>1380</v>
      </c>
      <c r="V15" s="33">
        <f t="shared" si="10"/>
        <v>2000</v>
      </c>
      <c r="W15">
        <f t="shared" si="11"/>
        <v>1380</v>
      </c>
      <c r="X15" s="38">
        <f>ROUND('[2]Труд_по старости'!X10*2.5,2)</f>
        <v>3975</v>
      </c>
      <c r="Y15" s="33">
        <f t="shared" si="12"/>
        <v>4213.5</v>
      </c>
      <c r="Z15" s="42">
        <f>ROUND('[2]Труд_по старости'!AA10*2.5,2)</f>
        <v>4312.88</v>
      </c>
      <c r="AA15" s="33">
        <f t="shared" si="13"/>
        <v>238.5</v>
      </c>
      <c r="AB15" s="42">
        <f t="shared" si="14"/>
        <v>337.8800000000001</v>
      </c>
      <c r="AC15" s="42">
        <f>2.5*'[2]Труд_по старости'!AD10</f>
        <v>4636.35</v>
      </c>
      <c r="AD15" s="42">
        <f t="shared" si="15"/>
        <v>323.47000000000025</v>
      </c>
      <c r="AE15" s="33">
        <f>'[2]Труд_по старости'!AF10*2.5</f>
        <v>5250</v>
      </c>
      <c r="AF15" s="33">
        <f t="shared" si="16"/>
        <v>613.6499999999996</v>
      </c>
      <c r="AG15" s="42">
        <f t="shared" si="17"/>
        <v>937.1199999999999</v>
      </c>
      <c r="AH15" s="42">
        <f>ROUND(2.5*'[2]Труд_по старости'!AI10,2)</f>
        <v>5617.5</v>
      </c>
      <c r="AI15" s="42">
        <f>2.5*'[2]Труд_по старости'!AJ10</f>
        <v>5538.75</v>
      </c>
      <c r="AJ15" s="42">
        <f>ROUND(2.5*'[2]Труд_по старости'!AK10,2)</f>
        <v>6437.5</v>
      </c>
      <c r="AK15" s="72">
        <f>2.5*'[2]Труд_по старости'!AL10</f>
        <v>6350</v>
      </c>
      <c r="AL15" s="42">
        <f>2.5*'[2]Труд_по старости'!AQ10</f>
        <v>6699.25</v>
      </c>
      <c r="AM15" s="72">
        <f>2.5*'[2]Труд_по старости'!AR10</f>
        <v>7550</v>
      </c>
      <c r="AN15" s="116">
        <f>2.5*'[2]Труд_по старости'!AS10</f>
        <v>6966.425</v>
      </c>
      <c r="AO15" s="96">
        <f t="shared" si="18"/>
        <v>8682.5</v>
      </c>
      <c r="AP15" s="114">
        <f>1376.1+1000</f>
        <v>2376.1</v>
      </c>
      <c r="AQ15" s="96">
        <f t="shared" si="19"/>
        <v>11058.6</v>
      </c>
      <c r="AR15" s="96">
        <f t="shared" si="20"/>
        <v>9060</v>
      </c>
      <c r="AS15" s="114">
        <f t="shared" si="21"/>
        <v>11436.1</v>
      </c>
      <c r="AT15" s="96">
        <f t="shared" si="22"/>
        <v>9815</v>
      </c>
      <c r="AU15" s="96">
        <f t="shared" si="23"/>
        <v>12191.1</v>
      </c>
      <c r="AV15" s="96">
        <f t="shared" si="24"/>
        <v>10570</v>
      </c>
      <c r="AW15" s="114">
        <f t="shared" si="25"/>
        <v>12946.1</v>
      </c>
      <c r="AX15" s="96">
        <f t="shared" si="26"/>
        <v>11325</v>
      </c>
      <c r="AY15" s="96">
        <f t="shared" si="27"/>
        <v>13701.1</v>
      </c>
      <c r="AZ15" s="96">
        <f t="shared" si="28"/>
        <v>12080</v>
      </c>
      <c r="BA15" s="96">
        <f t="shared" si="29"/>
        <v>14456.1</v>
      </c>
      <c r="BB15" s="96">
        <f t="shared" si="30"/>
        <v>12835</v>
      </c>
      <c r="BC15" s="96">
        <f t="shared" si="31"/>
        <v>15211.1</v>
      </c>
      <c r="BD15" s="114">
        <f t="shared" si="32"/>
        <v>13590</v>
      </c>
      <c r="BE15" s="96">
        <f t="shared" si="33"/>
        <v>15966.1</v>
      </c>
      <c r="BF15" s="96">
        <f t="shared" si="34"/>
        <v>15100</v>
      </c>
      <c r="BG15" s="96">
        <f t="shared" si="35"/>
        <v>17476.1</v>
      </c>
      <c r="BH15" s="33">
        <f>2.5*'[2]Труд_по старости'!DE10</f>
        <v>6875.25</v>
      </c>
      <c r="BI15" s="33">
        <f>2.5*'[2]Труд_по старости'!DF10</f>
        <v>8125</v>
      </c>
      <c r="BJ15" s="78">
        <f>2.5*'[2]Труд_по старости'!BP10</f>
        <v>6500</v>
      </c>
      <c r="BK15" s="33">
        <f t="shared" si="36"/>
        <v>1250</v>
      </c>
      <c r="BL15" s="33">
        <f>2.5*'[2]Труд_по старости'!BR10</f>
        <v>6050</v>
      </c>
      <c r="BM15" s="38">
        <f t="shared" si="37"/>
        <v>800</v>
      </c>
      <c r="BN15" s="33">
        <f>ROUND(2.5*'[2]Труд_по старости'!BT10,2)</f>
        <v>7475</v>
      </c>
      <c r="BO15" s="38">
        <f t="shared" si="38"/>
        <v>975</v>
      </c>
    </row>
    <row r="16" spans="1:67" ht="12.75">
      <c r="A16" s="34" t="s">
        <v>76</v>
      </c>
      <c r="B16" s="34"/>
      <c r="C16" s="42">
        <f>ROUND('[2]Труд_по старости'!B11*2.5,2)</f>
        <v>2250</v>
      </c>
      <c r="D16" s="42">
        <f>ROUND('[2]Труд_по старости'!C11*2.5,2)</f>
        <v>2396.25</v>
      </c>
      <c r="E16" s="42">
        <f>ROUND('[2]Труд_по старости'!D11*2.5,2)</f>
        <v>2611.93</v>
      </c>
      <c r="F16" s="42">
        <f t="shared" si="0"/>
        <v>156.72000000000025</v>
      </c>
      <c r="G16" s="42">
        <f>ROUND('[2]Труд_по старости'!F11*2.5,2)</f>
        <v>2768.65</v>
      </c>
      <c r="H16" s="33">
        <f>ROUND('[2]Труд_по старости'!G11*2.5,2)</f>
        <v>2990.15</v>
      </c>
      <c r="I16" s="42">
        <f t="shared" si="1"/>
        <v>378.22000000000025</v>
      </c>
      <c r="J16" s="42">
        <f>ROUND('[2]Труд_по старости'!I11*2.5,2)</f>
        <v>3105.05</v>
      </c>
      <c r="K16" s="42">
        <f t="shared" si="2"/>
        <v>114.90000000000009</v>
      </c>
      <c r="L16" s="33">
        <f>ROUND('[2]Труд_по старости'!K11*2.5,2)</f>
        <v>3300.05</v>
      </c>
      <c r="M16" s="33">
        <f t="shared" si="3"/>
        <v>309.9000000000001</v>
      </c>
      <c r="N16" s="33">
        <f>ROUND('[2]Труд_по старости'!M11*2.5,2)</f>
        <v>4500.08</v>
      </c>
      <c r="O16" s="33">
        <f t="shared" si="4"/>
        <v>1200.0299999999997</v>
      </c>
      <c r="P16" s="72">
        <f>ROUND('[2]Труд_по старости'!O11*2.5,2)</f>
        <v>4500</v>
      </c>
      <c r="Q16" s="46">
        <f t="shared" si="5"/>
        <v>1199.9499999999998</v>
      </c>
      <c r="R16" s="51">
        <f t="shared" si="6"/>
        <v>5175</v>
      </c>
      <c r="S16" s="46">
        <f t="shared" si="7"/>
        <v>6210</v>
      </c>
      <c r="T16" s="46">
        <f t="shared" si="8"/>
        <v>9000</v>
      </c>
      <c r="U16" s="8">
        <f t="shared" si="9"/>
        <v>1656</v>
      </c>
      <c r="V16" s="33">
        <f t="shared" si="10"/>
        <v>2400</v>
      </c>
      <c r="W16">
        <f t="shared" si="11"/>
        <v>1656</v>
      </c>
      <c r="X16" s="38">
        <f>ROUND('[2]Труд_по старости'!X11*2.5,2)</f>
        <v>4770</v>
      </c>
      <c r="Y16" s="33">
        <f t="shared" si="12"/>
        <v>5056.2</v>
      </c>
      <c r="Z16" s="42">
        <f>ROUND('[2]Труд_по старости'!AA11*2.5,2)</f>
        <v>5175.45</v>
      </c>
      <c r="AA16" s="33">
        <f t="shared" si="13"/>
        <v>286.1999999999998</v>
      </c>
      <c r="AB16" s="42">
        <f t="shared" si="14"/>
        <v>405.4499999999998</v>
      </c>
      <c r="AC16" s="42">
        <f>2.5*'[2]Труд_по старости'!AD11</f>
        <v>5563.6</v>
      </c>
      <c r="AD16" s="42">
        <f t="shared" si="15"/>
        <v>388.15000000000055</v>
      </c>
      <c r="AE16" s="33">
        <f>'[2]Труд_по старости'!AF11*2.5</f>
        <v>6300</v>
      </c>
      <c r="AF16" s="33">
        <f t="shared" si="16"/>
        <v>736.3999999999996</v>
      </c>
      <c r="AG16" s="42">
        <f t="shared" si="17"/>
        <v>1124.5500000000002</v>
      </c>
      <c r="AH16" s="42">
        <f>ROUND(2.5*'[2]Труд_по старости'!AI11,2)</f>
        <v>6741</v>
      </c>
      <c r="AI16" s="42">
        <f>2.5*'[2]Труд_по старости'!AJ11</f>
        <v>6646.5</v>
      </c>
      <c r="AJ16" s="42">
        <f>ROUND(2.5*'[2]Труд_по старости'!AK11,2)</f>
        <v>7725</v>
      </c>
      <c r="AK16" s="72">
        <f>2.5*'[2]Труд_по старости'!AL11</f>
        <v>7620</v>
      </c>
      <c r="AL16" s="42">
        <f>2.5*'[2]Труд_по старости'!AQ11</f>
        <v>8039.099999999999</v>
      </c>
      <c r="AM16" s="72">
        <f>2.5*'[2]Труд_по старости'!AR11</f>
        <v>9060</v>
      </c>
      <c r="AN16" s="116">
        <f>2.5*'[2]Труд_по старости'!AS11</f>
        <v>8359.7</v>
      </c>
      <c r="AO16" s="96">
        <f t="shared" si="18"/>
        <v>10419</v>
      </c>
      <c r="AP16" s="114">
        <f>1376.1+1000</f>
        <v>2376.1</v>
      </c>
      <c r="AQ16" s="96">
        <f t="shared" si="19"/>
        <v>12795.1</v>
      </c>
      <c r="AR16" s="96">
        <f t="shared" si="20"/>
        <v>10872</v>
      </c>
      <c r="AS16" s="114">
        <f t="shared" si="21"/>
        <v>13248.1</v>
      </c>
      <c r="AT16" s="96">
        <f t="shared" si="22"/>
        <v>11778</v>
      </c>
      <c r="AU16" s="96">
        <f t="shared" si="23"/>
        <v>14154.1</v>
      </c>
      <c r="AV16" s="96">
        <f t="shared" si="24"/>
        <v>12684</v>
      </c>
      <c r="AW16" s="114">
        <f t="shared" si="25"/>
        <v>15060.1</v>
      </c>
      <c r="AX16" s="96">
        <f t="shared" si="26"/>
        <v>13590</v>
      </c>
      <c r="AY16" s="96">
        <f t="shared" si="27"/>
        <v>15966.1</v>
      </c>
      <c r="AZ16" s="96">
        <f t="shared" si="28"/>
        <v>14496</v>
      </c>
      <c r="BA16" s="96">
        <f t="shared" si="29"/>
        <v>16872.1</v>
      </c>
      <c r="BB16" s="96">
        <f t="shared" si="30"/>
        <v>15402</v>
      </c>
      <c r="BC16" s="96">
        <f t="shared" si="31"/>
        <v>17778.1</v>
      </c>
      <c r="BD16" s="114">
        <f t="shared" si="32"/>
        <v>16308</v>
      </c>
      <c r="BE16" s="96">
        <f t="shared" si="33"/>
        <v>18684.1</v>
      </c>
      <c r="BF16" s="96">
        <f t="shared" si="34"/>
        <v>18120</v>
      </c>
      <c r="BG16" s="96">
        <f t="shared" si="35"/>
        <v>20496.1</v>
      </c>
      <c r="BH16" s="33">
        <f>2.5*'[2]Труд_по старости'!DE11</f>
        <v>8250.3</v>
      </c>
      <c r="BI16" s="33">
        <f>2.5*'[2]Труд_по старости'!DF11</f>
        <v>9750.000015063</v>
      </c>
      <c r="BJ16" s="78">
        <f>2.5*'[2]Труд_по старости'!BP11</f>
        <v>7800</v>
      </c>
      <c r="BK16" s="33">
        <f t="shared" si="36"/>
        <v>1500</v>
      </c>
      <c r="BL16" s="33">
        <f>2.5*'[2]Труд_по старости'!BR11</f>
        <v>7260</v>
      </c>
      <c r="BM16" s="38">
        <f t="shared" si="37"/>
        <v>960</v>
      </c>
      <c r="BN16" s="33">
        <f>ROUND(2.5*'[2]Труд_по старости'!BT11,2)</f>
        <v>8970</v>
      </c>
      <c r="BO16" s="38">
        <f t="shared" si="38"/>
        <v>1170</v>
      </c>
    </row>
    <row r="17" spans="1:67" ht="24.75" customHeight="1">
      <c r="A17" s="117" t="s">
        <v>109</v>
      </c>
      <c r="B17" s="32" t="s">
        <v>104</v>
      </c>
      <c r="C17" s="42">
        <f>ROUND('[2]Труд_по старости'!B8*1.75,2)</f>
        <v>787.5</v>
      </c>
      <c r="D17" s="42">
        <f>ROUND('[2]Труд_по старости'!C8*1.75,2)</f>
        <v>838.69</v>
      </c>
      <c r="E17" s="42">
        <f>ROUND('[2]Труд_по старости'!D8*1.75,2)</f>
        <v>914.17</v>
      </c>
      <c r="F17" s="42">
        <f t="shared" si="0"/>
        <v>54.84000000000003</v>
      </c>
      <c r="G17" s="42">
        <f>ROUND('[2]Труд_по старости'!F8*1.75,2)</f>
        <v>969.01</v>
      </c>
      <c r="H17" s="42">
        <f>ROUND('[2]Труд_по старости'!G8*1.75,2)</f>
        <v>1046.54</v>
      </c>
      <c r="I17" s="42">
        <f t="shared" si="1"/>
        <v>132.37</v>
      </c>
      <c r="J17" s="42">
        <f>ROUND(621*1.75,2)</f>
        <v>1086.75</v>
      </c>
      <c r="K17" s="42">
        <f t="shared" si="2"/>
        <v>40.210000000000036</v>
      </c>
      <c r="L17" s="45">
        <f>ROUND(660*1.75,2)</f>
        <v>1155</v>
      </c>
      <c r="M17" s="45">
        <f t="shared" si="3"/>
        <v>108.46000000000004</v>
      </c>
      <c r="N17" s="45">
        <f>ROUND(900*1.75,2)</f>
        <v>1575</v>
      </c>
      <c r="O17" s="45">
        <f t="shared" si="4"/>
        <v>420</v>
      </c>
      <c r="P17" s="115">
        <f>ROUND('[2]Труд_по старости'!O8*1.75,2)</f>
        <v>1575</v>
      </c>
      <c r="Q17" s="48">
        <f t="shared" si="5"/>
        <v>420</v>
      </c>
      <c r="R17" s="47">
        <f t="shared" si="6"/>
        <v>1811.25</v>
      </c>
      <c r="S17" s="48">
        <f t="shared" si="7"/>
        <v>2173.5</v>
      </c>
      <c r="T17" s="48">
        <f t="shared" si="8"/>
        <v>3150</v>
      </c>
      <c r="U17" s="11">
        <f t="shared" si="9"/>
        <v>580</v>
      </c>
      <c r="V17" s="49">
        <f t="shared" si="10"/>
        <v>840</v>
      </c>
      <c r="W17">
        <f t="shared" si="11"/>
        <v>580</v>
      </c>
      <c r="X17" s="38">
        <f>ROUND('[2]Труд_по старости'!X8*1.75,2)</f>
        <v>1669.5</v>
      </c>
      <c r="Y17" s="33">
        <f t="shared" si="12"/>
        <v>1769.67</v>
      </c>
      <c r="Z17" s="42">
        <f>ROUND('[2]Труд_по старости'!AA8*1.75,2)</f>
        <v>1811.41</v>
      </c>
      <c r="AA17" s="33">
        <f t="shared" si="13"/>
        <v>100.17000000000007</v>
      </c>
      <c r="AB17" s="42">
        <f t="shared" si="14"/>
        <v>141.91000000000008</v>
      </c>
      <c r="AC17" s="42">
        <f>'[2]Труд_по старости'!AD8*1.75</f>
        <v>1947.26</v>
      </c>
      <c r="AD17" s="42">
        <f t="shared" si="15"/>
        <v>135.8499999999999</v>
      </c>
      <c r="AE17" s="33">
        <f>1.75*'[2]Труд_по старости'!AF8</f>
        <v>2205</v>
      </c>
      <c r="AF17" s="33">
        <f t="shared" si="16"/>
        <v>257.74</v>
      </c>
      <c r="AG17" s="42">
        <f t="shared" si="17"/>
        <v>393.5899999999999</v>
      </c>
      <c r="AH17" s="42">
        <f>ROUND(1.75*'[2]Труд_по старости'!AI8,2)</f>
        <v>2359.35</v>
      </c>
      <c r="AI17" s="42">
        <f>1.75*'[2]Труд_по старости'!AJ8</f>
        <v>2326.275</v>
      </c>
      <c r="AJ17" s="42">
        <f>ROUND(1.75*'[2]Труд_по старости'!AK8,2)</f>
        <v>2703.75</v>
      </c>
      <c r="AK17" s="72">
        <f>1.75*'[2]Труд_по старости'!AL8</f>
        <v>2667</v>
      </c>
      <c r="AL17" s="42">
        <f>1.75*'[2]Труд_по старости'!AQ8</f>
        <v>2813.685</v>
      </c>
      <c r="AM17" s="72">
        <f>1.75*'[2]Труд_по старости'!AR8</f>
        <v>3171</v>
      </c>
      <c r="AN17" s="118">
        <f>1.75*'[2]Труд_по старости'!AS8</f>
        <v>2925.895</v>
      </c>
      <c r="AO17" s="96">
        <f t="shared" si="18"/>
        <v>3646.6499999999996</v>
      </c>
      <c r="AP17" s="114">
        <f>1100.88+1000</f>
        <v>2100.88</v>
      </c>
      <c r="AQ17" s="96">
        <f t="shared" si="19"/>
        <v>5747.53</v>
      </c>
      <c r="AR17" s="96">
        <f t="shared" si="20"/>
        <v>3805.2</v>
      </c>
      <c r="AS17" s="114">
        <f t="shared" si="21"/>
        <v>5906.08</v>
      </c>
      <c r="AT17" s="96">
        <f t="shared" si="22"/>
        <v>4122.3</v>
      </c>
      <c r="AU17" s="96">
        <f t="shared" si="23"/>
        <v>6223.18</v>
      </c>
      <c r="AV17" s="96">
        <f t="shared" si="24"/>
        <v>4439.4</v>
      </c>
      <c r="AW17" s="114">
        <f t="shared" si="25"/>
        <v>6540.28</v>
      </c>
      <c r="AX17" s="96">
        <f t="shared" si="26"/>
        <v>4756.5</v>
      </c>
      <c r="AY17" s="96">
        <f t="shared" si="27"/>
        <v>6857.38</v>
      </c>
      <c r="AZ17" s="96">
        <f t="shared" si="28"/>
        <v>5073.6</v>
      </c>
      <c r="BA17" s="96">
        <f t="shared" si="29"/>
        <v>7174.4800000000005</v>
      </c>
      <c r="BB17" s="96">
        <f t="shared" si="30"/>
        <v>5390.7</v>
      </c>
      <c r="BC17" s="96">
        <f t="shared" si="31"/>
        <v>7491.58</v>
      </c>
      <c r="BD17" s="114">
        <f t="shared" si="32"/>
        <v>5707.8</v>
      </c>
      <c r="BE17" s="96">
        <f t="shared" si="33"/>
        <v>7808.68</v>
      </c>
      <c r="BF17" s="96">
        <f t="shared" si="34"/>
        <v>6342</v>
      </c>
      <c r="BG17" s="96">
        <f t="shared" si="35"/>
        <v>8442.880000000001</v>
      </c>
      <c r="BH17" s="33">
        <f>ROUND(1.75*'[2]Труд_по старости'!DE8,2)</f>
        <v>2887.61</v>
      </c>
      <c r="BI17" s="33">
        <f>ROUND(1.75*'[2]Труд_по старости'!DF8,2)</f>
        <v>3412.5</v>
      </c>
      <c r="BJ17" s="78">
        <f>1.75*'[2]Труд_по старости'!BP8</f>
        <v>2730</v>
      </c>
      <c r="BK17" s="33">
        <f t="shared" si="36"/>
        <v>525</v>
      </c>
      <c r="BL17" s="33">
        <f>1.75*'[2]Труд_по старости'!BR8</f>
        <v>2541</v>
      </c>
      <c r="BM17" s="38">
        <f t="shared" si="37"/>
        <v>336</v>
      </c>
      <c r="BN17" s="33">
        <f>ROUND(1.75*'[2]Труд_по старости'!BT8,2)</f>
        <v>3139.5</v>
      </c>
      <c r="BO17" s="38">
        <f t="shared" si="38"/>
        <v>409.5</v>
      </c>
    </row>
    <row r="18" spans="1:67" ht="12.75">
      <c r="A18" s="119" t="s">
        <v>92</v>
      </c>
      <c r="B18" s="32" t="s">
        <v>105</v>
      </c>
      <c r="C18" s="42">
        <f>ROUND('[2]Труд_по старости'!B8*2,2)</f>
        <v>900</v>
      </c>
      <c r="D18" s="42">
        <f>ROUND('[2]Труд_по старости'!C8*2,2)</f>
        <v>958.5</v>
      </c>
      <c r="E18" s="42">
        <f>ROUND('[2]Труд_по старости'!D8*2,2)</f>
        <v>1044.76</v>
      </c>
      <c r="F18" s="42">
        <f t="shared" si="0"/>
        <v>62.680000000000064</v>
      </c>
      <c r="G18" s="42">
        <f>ROUND('[2]Труд_по старости'!F8*2,2)</f>
        <v>1107.44</v>
      </c>
      <c r="H18" s="42">
        <f>ROUND('[2]Труд_по старости'!G8*2,2)</f>
        <v>1196.04</v>
      </c>
      <c r="I18" s="42">
        <f t="shared" si="1"/>
        <v>151.27999999999997</v>
      </c>
      <c r="J18" s="42">
        <f>ROUND(621*2,2)</f>
        <v>1242</v>
      </c>
      <c r="K18" s="42">
        <f t="shared" si="2"/>
        <v>45.960000000000036</v>
      </c>
      <c r="L18" s="75">
        <f>ROUND(660*2,2)</f>
        <v>1320</v>
      </c>
      <c r="M18" s="45">
        <f t="shared" si="3"/>
        <v>123.96000000000004</v>
      </c>
      <c r="N18" s="45">
        <f>ROUND(900*2,2)</f>
        <v>1800</v>
      </c>
      <c r="O18" s="45">
        <f t="shared" si="4"/>
        <v>480</v>
      </c>
      <c r="P18" s="115">
        <f>ROUND('[2]Труд_по старости'!O8*2,2)</f>
        <v>1800</v>
      </c>
      <c r="Q18" s="48">
        <f t="shared" si="5"/>
        <v>480</v>
      </c>
      <c r="R18" s="51">
        <f t="shared" si="6"/>
        <v>2070</v>
      </c>
      <c r="S18" s="46">
        <f t="shared" si="7"/>
        <v>2484</v>
      </c>
      <c r="T18" s="46">
        <f t="shared" si="8"/>
        <v>3600</v>
      </c>
      <c r="U18" s="8">
        <f t="shared" si="9"/>
        <v>662</v>
      </c>
      <c r="V18" s="33">
        <f t="shared" si="10"/>
        <v>960</v>
      </c>
      <c r="W18">
        <f t="shared" si="11"/>
        <v>662</v>
      </c>
      <c r="X18" s="38">
        <f>ROUND('[2]Труд_по старости'!X8*2,2)</f>
        <v>1908</v>
      </c>
      <c r="Y18" s="33">
        <f t="shared" si="12"/>
        <v>2022.48</v>
      </c>
      <c r="Z18" s="42">
        <f>ROUND('[2]Труд_по старости'!AA8*2,2)</f>
        <v>2070.18</v>
      </c>
      <c r="AA18" s="33">
        <f t="shared" si="13"/>
        <v>114.48000000000002</v>
      </c>
      <c r="AB18" s="42">
        <f t="shared" si="14"/>
        <v>162.17999999999984</v>
      </c>
      <c r="AC18" s="42">
        <f>'[2]Труд_по старости'!AD8*2</f>
        <v>2225.44</v>
      </c>
      <c r="AD18" s="42">
        <f t="shared" si="15"/>
        <v>155.26000000000022</v>
      </c>
      <c r="AE18" s="33">
        <f>2*'[2]Труд_по старости'!AF8</f>
        <v>2520</v>
      </c>
      <c r="AF18" s="33">
        <f t="shared" si="16"/>
        <v>294.55999999999995</v>
      </c>
      <c r="AG18" s="42">
        <f t="shared" si="17"/>
        <v>449.82000000000016</v>
      </c>
      <c r="AH18" s="42">
        <f>ROUND(2*'[2]Труд_по старости'!AI8,2)</f>
        <v>2696.4</v>
      </c>
      <c r="AI18" s="42">
        <f>2*'[2]Труд_по старости'!AJ8</f>
        <v>2658.6</v>
      </c>
      <c r="AJ18" s="42">
        <f>ROUND(2*'[2]Труд_по старости'!AK8,2)</f>
        <v>3090</v>
      </c>
      <c r="AK18" s="72">
        <f>2*'[2]Труд_по старости'!AL8</f>
        <v>3048</v>
      </c>
      <c r="AL18" s="42">
        <f>2*'[2]Труд_по старости'!AQ8</f>
        <v>3215.64</v>
      </c>
      <c r="AM18" s="72">
        <f>2*'[2]Труд_по старости'!AR8</f>
        <v>3624</v>
      </c>
      <c r="AN18" s="116">
        <f>2*'[2]Труд_по старости'!AS8</f>
        <v>3343.88</v>
      </c>
      <c r="AO18" s="96">
        <f t="shared" si="18"/>
        <v>4167.599999999999</v>
      </c>
      <c r="AP18" s="114"/>
      <c r="AQ18" s="96">
        <f t="shared" si="19"/>
        <v>4167.599999999999</v>
      </c>
      <c r="AR18" s="96">
        <f t="shared" si="20"/>
        <v>4348.8</v>
      </c>
      <c r="AS18" s="114">
        <f t="shared" si="21"/>
        <v>4348.8</v>
      </c>
      <c r="AT18" s="96">
        <f t="shared" si="22"/>
        <v>4711.2</v>
      </c>
      <c r="AU18" s="96">
        <f t="shared" si="23"/>
        <v>4711.2</v>
      </c>
      <c r="AV18" s="96">
        <f t="shared" si="24"/>
        <v>5073.599999999999</v>
      </c>
      <c r="AW18" s="114">
        <f t="shared" si="25"/>
        <v>5073.599999999999</v>
      </c>
      <c r="AX18" s="96">
        <f t="shared" si="26"/>
        <v>5436</v>
      </c>
      <c r="AY18" s="96">
        <f t="shared" si="27"/>
        <v>5436</v>
      </c>
      <c r="AZ18" s="96">
        <f t="shared" si="28"/>
        <v>5798.400000000001</v>
      </c>
      <c r="BA18" s="96">
        <f t="shared" si="29"/>
        <v>5798.400000000001</v>
      </c>
      <c r="BB18" s="96">
        <f t="shared" si="30"/>
        <v>6160.8</v>
      </c>
      <c r="BC18" s="96">
        <f t="shared" si="31"/>
        <v>6160.8</v>
      </c>
      <c r="BD18" s="114">
        <f t="shared" si="32"/>
        <v>6523.2</v>
      </c>
      <c r="BE18" s="96">
        <f t="shared" si="33"/>
        <v>6523.2</v>
      </c>
      <c r="BF18" s="96">
        <f t="shared" si="34"/>
        <v>7248</v>
      </c>
      <c r="BG18" s="96">
        <f t="shared" si="35"/>
        <v>7248</v>
      </c>
      <c r="BH18" s="33">
        <f>2*'[2]Труд_по старости'!DE8</f>
        <v>3300.12</v>
      </c>
      <c r="BI18" s="33">
        <f>2*'[2]Труд_по старости'!DF8</f>
        <v>3900</v>
      </c>
      <c r="BJ18" s="78">
        <f>2*'[2]Труд_по старости'!BP8</f>
        <v>3120</v>
      </c>
      <c r="BK18" s="33">
        <f t="shared" si="36"/>
        <v>600</v>
      </c>
      <c r="BL18" s="33">
        <f>2*'[2]Труд_по старости'!BR8</f>
        <v>2904</v>
      </c>
      <c r="BM18" s="38">
        <f t="shared" si="37"/>
        <v>384</v>
      </c>
      <c r="BN18" s="33">
        <f>2*'[2]Труд_по старости'!BT8</f>
        <v>3588</v>
      </c>
      <c r="BO18" s="38">
        <f t="shared" si="38"/>
        <v>468</v>
      </c>
    </row>
    <row r="19" spans="1:67" ht="30" customHeight="1">
      <c r="A19" s="161" t="s">
        <v>106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3"/>
      <c r="L19" s="33">
        <f aca="true" t="shared" si="39" ref="L19:L25">ROUND(J19*1.06280193,2)</f>
        <v>0</v>
      </c>
      <c r="M19" s="33">
        <f t="shared" si="3"/>
        <v>0</v>
      </c>
      <c r="N19" s="33">
        <f>ROUND(L19*N$5,2)</f>
        <v>0</v>
      </c>
      <c r="O19" s="33">
        <f t="shared" si="4"/>
        <v>0</v>
      </c>
      <c r="P19" s="72"/>
      <c r="Q19" s="48">
        <f t="shared" si="5"/>
        <v>0</v>
      </c>
      <c r="R19" s="51">
        <f t="shared" si="6"/>
        <v>0</v>
      </c>
      <c r="S19" s="46">
        <f t="shared" si="7"/>
        <v>0</v>
      </c>
      <c r="T19" s="46">
        <f t="shared" si="8"/>
        <v>0</v>
      </c>
      <c r="U19" s="8">
        <f t="shared" si="9"/>
        <v>0</v>
      </c>
      <c r="V19" s="33">
        <f t="shared" si="10"/>
        <v>0</v>
      </c>
      <c r="W19">
        <f t="shared" si="11"/>
        <v>0</v>
      </c>
      <c r="X19" s="38"/>
      <c r="Y19" s="33">
        <f t="shared" si="12"/>
        <v>0</v>
      </c>
      <c r="Z19" s="42">
        <f>X19*1.085</f>
        <v>0</v>
      </c>
      <c r="AA19" s="33">
        <f t="shared" si="13"/>
        <v>0</v>
      </c>
      <c r="AB19" s="42">
        <f t="shared" si="14"/>
        <v>0</v>
      </c>
      <c r="AC19" s="33"/>
      <c r="AD19" s="42">
        <f t="shared" si="15"/>
        <v>0</v>
      </c>
      <c r="AE19" s="33"/>
      <c r="AF19" s="33">
        <f t="shared" si="16"/>
        <v>0</v>
      </c>
      <c r="AG19" s="42">
        <f t="shared" si="17"/>
        <v>0</v>
      </c>
      <c r="AH19" s="42"/>
      <c r="AI19" s="34"/>
      <c r="AJ19" s="34"/>
      <c r="AK19" s="34"/>
      <c r="AL19" s="34"/>
      <c r="AM19" s="34"/>
      <c r="AN19" s="113"/>
      <c r="AO19" s="96">
        <f t="shared" si="18"/>
        <v>0</v>
      </c>
      <c r="AP19" s="114"/>
      <c r="AQ19" s="96">
        <f t="shared" si="19"/>
        <v>0</v>
      </c>
      <c r="AR19" s="96">
        <f t="shared" si="20"/>
        <v>0</v>
      </c>
      <c r="AS19" s="114">
        <f t="shared" si="21"/>
        <v>0</v>
      </c>
      <c r="AT19" s="96">
        <f t="shared" si="22"/>
        <v>0</v>
      </c>
      <c r="AU19" s="96">
        <f t="shared" si="23"/>
        <v>0</v>
      </c>
      <c r="AV19" s="96">
        <f t="shared" si="24"/>
        <v>0</v>
      </c>
      <c r="AW19" s="114">
        <f t="shared" si="25"/>
        <v>0</v>
      </c>
      <c r="AX19" s="96">
        <f t="shared" si="26"/>
        <v>0</v>
      </c>
      <c r="AY19" s="96">
        <f t="shared" si="27"/>
        <v>0</v>
      </c>
      <c r="AZ19" s="96">
        <f t="shared" si="28"/>
        <v>0</v>
      </c>
      <c r="BA19" s="96">
        <f t="shared" si="29"/>
        <v>0</v>
      </c>
      <c r="BB19" s="96">
        <f t="shared" si="30"/>
        <v>0</v>
      </c>
      <c r="BC19" s="96">
        <f t="shared" si="31"/>
        <v>0</v>
      </c>
      <c r="BD19" s="114">
        <f t="shared" si="32"/>
        <v>0</v>
      </c>
      <c r="BE19" s="96">
        <f t="shared" si="33"/>
        <v>0</v>
      </c>
      <c r="BF19" s="96">
        <f t="shared" si="34"/>
        <v>0</v>
      </c>
      <c r="BG19" s="96">
        <f t="shared" si="35"/>
        <v>0</v>
      </c>
      <c r="BH19" s="34"/>
      <c r="BI19" s="34"/>
      <c r="BJ19" s="78"/>
      <c r="BK19" s="33">
        <f t="shared" si="36"/>
        <v>0</v>
      </c>
      <c r="BL19" s="33"/>
      <c r="BM19" s="38">
        <f t="shared" si="37"/>
        <v>0</v>
      </c>
      <c r="BN19" s="33"/>
      <c r="BO19" s="38">
        <f t="shared" si="38"/>
        <v>0</v>
      </c>
    </row>
    <row r="20" spans="1:67" ht="15.75" customHeight="1">
      <c r="A20" s="32" t="s">
        <v>78</v>
      </c>
      <c r="B20" s="32" t="s">
        <v>103</v>
      </c>
      <c r="C20" s="34"/>
      <c r="D20" s="34"/>
      <c r="E20" s="34"/>
      <c r="F20" s="34"/>
      <c r="G20" s="34"/>
      <c r="H20" s="34"/>
      <c r="I20" s="44"/>
      <c r="J20" s="44"/>
      <c r="K20" s="44"/>
      <c r="L20" s="33">
        <f t="shared" si="39"/>
        <v>0</v>
      </c>
      <c r="M20" s="33">
        <f t="shared" si="3"/>
        <v>0</v>
      </c>
      <c r="N20" s="33">
        <f>ROUND(L20*N$5,2)</f>
        <v>0</v>
      </c>
      <c r="O20" s="33">
        <f t="shared" si="4"/>
        <v>0</v>
      </c>
      <c r="P20" s="72"/>
      <c r="Q20" s="48">
        <f t="shared" si="5"/>
        <v>0</v>
      </c>
      <c r="R20" s="51">
        <f t="shared" si="6"/>
        <v>0</v>
      </c>
      <c r="S20" s="46">
        <f t="shared" si="7"/>
        <v>0</v>
      </c>
      <c r="T20" s="46">
        <f t="shared" si="8"/>
        <v>0</v>
      </c>
      <c r="U20" s="8">
        <f t="shared" si="9"/>
        <v>0</v>
      </c>
      <c r="V20" s="33">
        <f t="shared" si="10"/>
        <v>0</v>
      </c>
      <c r="W20">
        <f t="shared" si="11"/>
        <v>0</v>
      </c>
      <c r="X20" s="38"/>
      <c r="Y20" s="33">
        <f t="shared" si="12"/>
        <v>0</v>
      </c>
      <c r="Z20" s="42">
        <f>X20*1.085</f>
        <v>0</v>
      </c>
      <c r="AA20" s="33">
        <f t="shared" si="13"/>
        <v>0</v>
      </c>
      <c r="AB20" s="42">
        <f t="shared" si="14"/>
        <v>0</v>
      </c>
      <c r="AC20" s="33"/>
      <c r="AD20" s="42">
        <f t="shared" si="15"/>
        <v>0</v>
      </c>
      <c r="AE20" s="33"/>
      <c r="AF20" s="33">
        <f t="shared" si="16"/>
        <v>0</v>
      </c>
      <c r="AG20" s="42">
        <f t="shared" si="17"/>
        <v>0</v>
      </c>
      <c r="AH20" s="42"/>
      <c r="AI20" s="34"/>
      <c r="AJ20" s="34"/>
      <c r="AK20" s="34"/>
      <c r="AL20" s="34"/>
      <c r="AM20" s="34"/>
      <c r="AN20" s="113"/>
      <c r="AO20" s="96">
        <f t="shared" si="18"/>
        <v>0</v>
      </c>
      <c r="AP20" s="114"/>
      <c r="AQ20" s="96">
        <f t="shared" si="19"/>
        <v>0</v>
      </c>
      <c r="AR20" s="96">
        <f t="shared" si="20"/>
        <v>0</v>
      </c>
      <c r="AS20" s="114">
        <f t="shared" si="21"/>
        <v>0</v>
      </c>
      <c r="AT20" s="96">
        <f t="shared" si="22"/>
        <v>0</v>
      </c>
      <c r="AU20" s="96">
        <f t="shared" si="23"/>
        <v>0</v>
      </c>
      <c r="AV20" s="96">
        <f t="shared" si="24"/>
        <v>0</v>
      </c>
      <c r="AW20" s="114">
        <f t="shared" si="25"/>
        <v>0</v>
      </c>
      <c r="AX20" s="96">
        <f t="shared" si="26"/>
        <v>0</v>
      </c>
      <c r="AY20" s="96">
        <f t="shared" si="27"/>
        <v>0</v>
      </c>
      <c r="AZ20" s="96">
        <f t="shared" si="28"/>
        <v>0</v>
      </c>
      <c r="BA20" s="96">
        <f t="shared" si="29"/>
        <v>0</v>
      </c>
      <c r="BB20" s="96">
        <f t="shared" si="30"/>
        <v>0</v>
      </c>
      <c r="BC20" s="96">
        <f t="shared" si="31"/>
        <v>0</v>
      </c>
      <c r="BD20" s="114">
        <f t="shared" si="32"/>
        <v>0</v>
      </c>
      <c r="BE20" s="96">
        <f t="shared" si="33"/>
        <v>0</v>
      </c>
      <c r="BF20" s="96">
        <f t="shared" si="34"/>
        <v>0</v>
      </c>
      <c r="BG20" s="96">
        <f t="shared" si="35"/>
        <v>0</v>
      </c>
      <c r="BH20" s="34"/>
      <c r="BI20" s="34"/>
      <c r="BJ20" s="78"/>
      <c r="BK20" s="33">
        <f t="shared" si="36"/>
        <v>0</v>
      </c>
      <c r="BL20" s="33"/>
      <c r="BM20" s="38">
        <f t="shared" si="37"/>
        <v>0</v>
      </c>
      <c r="BN20" s="33"/>
      <c r="BO20" s="38">
        <f t="shared" si="38"/>
        <v>0</v>
      </c>
    </row>
    <row r="21" spans="1:67" ht="12.75">
      <c r="A21" s="34" t="s">
        <v>73</v>
      </c>
      <c r="B21" s="34"/>
      <c r="C21" s="42">
        <f>ROUND('[2]Труд_по старости'!B8*2.5,2)</f>
        <v>1125</v>
      </c>
      <c r="D21" s="42">
        <f>ROUND('[2]Труд_по старости'!C8*2.5,2)</f>
        <v>1198.13</v>
      </c>
      <c r="E21" s="42">
        <f>ROUND('[2]Труд_по старости'!D8*2.5,2)</f>
        <v>1305.95</v>
      </c>
      <c r="F21" s="42">
        <f aca="true" t="shared" si="40" ref="F21:F31">G21-E21</f>
        <v>78.34999999999991</v>
      </c>
      <c r="G21" s="42">
        <f>ROUND('[2]Труд_по старости'!F8*2.5,2)</f>
        <v>1384.3</v>
      </c>
      <c r="H21" s="33">
        <f>H13</f>
        <v>1495.05</v>
      </c>
      <c r="I21" s="42">
        <f aca="true" t="shared" si="41" ref="I21:I31">H21-E21</f>
        <v>189.0999999999999</v>
      </c>
      <c r="J21" s="42">
        <f>ROUND(H21*J$5,2)</f>
        <v>1552.5</v>
      </c>
      <c r="K21" s="42">
        <f aca="true" t="shared" si="42" ref="K21:K31">J21-H21</f>
        <v>57.450000000000045</v>
      </c>
      <c r="L21" s="45">
        <f t="shared" si="39"/>
        <v>1650</v>
      </c>
      <c r="M21" s="45">
        <f t="shared" si="3"/>
        <v>154.95000000000005</v>
      </c>
      <c r="N21" s="45">
        <f>ROUND('[2]Труд_по старости'!M8*2.5,2)</f>
        <v>2250</v>
      </c>
      <c r="O21" s="45">
        <f t="shared" si="4"/>
        <v>600</v>
      </c>
      <c r="P21" s="115">
        <f>ROUND('[2]Труд_по старости'!O8*2.5,2)</f>
        <v>2250</v>
      </c>
      <c r="Q21" s="48">
        <f t="shared" si="5"/>
        <v>600</v>
      </c>
      <c r="R21" s="47">
        <f t="shared" si="6"/>
        <v>2587.5</v>
      </c>
      <c r="S21" s="48">
        <f t="shared" si="7"/>
        <v>3105</v>
      </c>
      <c r="T21" s="48">
        <f t="shared" si="8"/>
        <v>4500</v>
      </c>
      <c r="U21" s="11">
        <f t="shared" si="9"/>
        <v>828</v>
      </c>
      <c r="V21" s="49">
        <f t="shared" si="10"/>
        <v>1200</v>
      </c>
      <c r="W21">
        <f t="shared" si="11"/>
        <v>828</v>
      </c>
      <c r="X21" s="38">
        <f>ROUND('[2]Труд_по старости'!X8*2.5,2)</f>
        <v>2385</v>
      </c>
      <c r="Y21" s="33">
        <f t="shared" si="12"/>
        <v>2528.1</v>
      </c>
      <c r="Z21" s="42">
        <f>ROUND('[2]Труд_по старости'!AA8*2.5,2)</f>
        <v>2587.73</v>
      </c>
      <c r="AA21" s="33">
        <f t="shared" si="13"/>
        <v>143.0999999999999</v>
      </c>
      <c r="AB21" s="42">
        <f t="shared" si="14"/>
        <v>202.73000000000002</v>
      </c>
      <c r="AC21" s="42">
        <f>AC13</f>
        <v>2781.8</v>
      </c>
      <c r="AD21" s="42">
        <f t="shared" si="15"/>
        <v>194.07000000000016</v>
      </c>
      <c r="AE21" s="33">
        <f>2.5*'[2]Труд_по старости'!AF8</f>
        <v>3150</v>
      </c>
      <c r="AF21" s="33">
        <f t="shared" si="16"/>
        <v>368.1999999999998</v>
      </c>
      <c r="AG21" s="42">
        <f t="shared" si="17"/>
        <v>562.27</v>
      </c>
      <c r="AH21" s="42">
        <f>ROUND(2.5*'[2]Труд_по старости'!AI8,2)</f>
        <v>3370.5</v>
      </c>
      <c r="AI21" s="42">
        <f>2.5*'[2]Труд_по старости'!AJ8</f>
        <v>3323.25</v>
      </c>
      <c r="AJ21" s="42">
        <f>ROUND(2.5*'[2]Труд_по старости'!AK8,2)</f>
        <v>3862.5</v>
      </c>
      <c r="AK21" s="72">
        <f>2.5*'[2]Труд_по старости'!AL8</f>
        <v>3810</v>
      </c>
      <c r="AL21" s="42">
        <f>2.5*'[2]Труд_по старости'!AQ8</f>
        <v>4019.5499999999997</v>
      </c>
      <c r="AM21" s="72">
        <f>2.5*'[2]Труд_по старости'!AR8</f>
        <v>4530</v>
      </c>
      <c r="AN21" s="116">
        <f>2.5*'[2]Труд_по старости'!AS8</f>
        <v>4179.85</v>
      </c>
      <c r="AO21" s="96">
        <f t="shared" si="18"/>
        <v>5209.5</v>
      </c>
      <c r="AP21" s="114">
        <v>1926.53</v>
      </c>
      <c r="AQ21" s="96">
        <f t="shared" si="19"/>
        <v>7136.03</v>
      </c>
      <c r="AR21" s="96">
        <f t="shared" si="20"/>
        <v>5436</v>
      </c>
      <c r="AS21" s="114">
        <f t="shared" si="21"/>
        <v>7362.53</v>
      </c>
      <c r="AT21" s="96">
        <f t="shared" si="22"/>
        <v>5889</v>
      </c>
      <c r="AU21" s="96">
        <f t="shared" si="23"/>
        <v>7815.53</v>
      </c>
      <c r="AV21" s="96">
        <f t="shared" si="24"/>
        <v>6342</v>
      </c>
      <c r="AW21" s="114">
        <f t="shared" si="25"/>
        <v>8268.53</v>
      </c>
      <c r="AX21" s="96">
        <f t="shared" si="26"/>
        <v>6795</v>
      </c>
      <c r="AY21" s="96">
        <f t="shared" si="27"/>
        <v>8721.53</v>
      </c>
      <c r="AZ21" s="96">
        <f t="shared" si="28"/>
        <v>7248</v>
      </c>
      <c r="BA21" s="96">
        <f t="shared" si="29"/>
        <v>9174.53</v>
      </c>
      <c r="BB21" s="96">
        <f t="shared" si="30"/>
        <v>7701</v>
      </c>
      <c r="BC21" s="96">
        <f t="shared" si="31"/>
        <v>9627.53</v>
      </c>
      <c r="BD21" s="114">
        <f t="shared" si="32"/>
        <v>8154</v>
      </c>
      <c r="BE21" s="96">
        <f t="shared" si="33"/>
        <v>10080.53</v>
      </c>
      <c r="BF21" s="96">
        <f t="shared" si="34"/>
        <v>9060</v>
      </c>
      <c r="BG21" s="96">
        <f t="shared" si="35"/>
        <v>10986.53</v>
      </c>
      <c r="BH21" s="33">
        <f>2.5*'[2]Труд_по старости'!DE8</f>
        <v>4125.15</v>
      </c>
      <c r="BI21" s="33">
        <f>2.5*'[2]Труд_по старости'!DF8</f>
        <v>4875</v>
      </c>
      <c r="BJ21" s="78">
        <f>2.5*'[2]Труд_по старости'!BP8</f>
        <v>3900</v>
      </c>
      <c r="BK21" s="33">
        <f t="shared" si="36"/>
        <v>750</v>
      </c>
      <c r="BL21" s="33">
        <f>BL13</f>
        <v>3630</v>
      </c>
      <c r="BM21" s="38">
        <f t="shared" si="37"/>
        <v>480</v>
      </c>
      <c r="BN21" s="33">
        <f>2.5*'[2]Труд_по старости'!BT8</f>
        <v>4485</v>
      </c>
      <c r="BO21" s="38">
        <f t="shared" si="38"/>
        <v>585</v>
      </c>
    </row>
    <row r="22" spans="1:67" ht="12.75">
      <c r="A22" s="34" t="s">
        <v>74</v>
      </c>
      <c r="B22" s="34"/>
      <c r="C22" s="42">
        <f>ROUND('[2]Труд_по старости'!B9*2.5,2)</f>
        <v>1500</v>
      </c>
      <c r="D22" s="42">
        <f>ROUND('[2]Труд_по старости'!C9*2.5,2)</f>
        <v>1597.5</v>
      </c>
      <c r="E22" s="42">
        <f>ROUND('[2]Труд_по старости'!D9*2.5,2)</f>
        <v>1741.28</v>
      </c>
      <c r="F22" s="42">
        <f t="shared" si="40"/>
        <v>104.47000000000003</v>
      </c>
      <c r="G22" s="42">
        <f>ROUND('[2]Труд_по старости'!F9*2.5,2)</f>
        <v>1845.75</v>
      </c>
      <c r="H22" s="33">
        <f>H14</f>
        <v>1993.4</v>
      </c>
      <c r="I22" s="42">
        <f t="shared" si="41"/>
        <v>252.12000000000012</v>
      </c>
      <c r="J22" s="42">
        <f>ROUND(H22*J$5,2)</f>
        <v>2070</v>
      </c>
      <c r="K22" s="42">
        <f t="shared" si="42"/>
        <v>76.59999999999991</v>
      </c>
      <c r="L22" s="33">
        <f t="shared" si="39"/>
        <v>2200</v>
      </c>
      <c r="M22" s="33">
        <f t="shared" si="3"/>
        <v>206.5999999999999</v>
      </c>
      <c r="N22" s="33">
        <f>ROUND('[2]Труд_по старости'!M9*2.5,2)</f>
        <v>3000</v>
      </c>
      <c r="O22" s="33">
        <f t="shared" si="4"/>
        <v>800</v>
      </c>
      <c r="P22" s="72">
        <f>ROUND('[2]Труд_по старости'!O9*2.5,2)</f>
        <v>3000</v>
      </c>
      <c r="Q22" s="79">
        <f t="shared" si="5"/>
        <v>800</v>
      </c>
      <c r="R22" s="51">
        <f t="shared" si="6"/>
        <v>3450</v>
      </c>
      <c r="S22" s="46">
        <f t="shared" si="7"/>
        <v>4140</v>
      </c>
      <c r="T22" s="46">
        <f t="shared" si="8"/>
        <v>6000</v>
      </c>
      <c r="U22" s="8">
        <f t="shared" si="9"/>
        <v>1104</v>
      </c>
      <c r="V22" s="33">
        <f t="shared" si="10"/>
        <v>1600</v>
      </c>
      <c r="W22">
        <f t="shared" si="11"/>
        <v>1104</v>
      </c>
      <c r="X22" s="38">
        <f>ROUND('[2]Труд_по старости'!X9*2.5,2)</f>
        <v>3180</v>
      </c>
      <c r="Y22" s="33">
        <f t="shared" si="12"/>
        <v>3370.8</v>
      </c>
      <c r="Z22" s="42">
        <f>ROUND('[2]Труд_по старости'!AA9*2.5,2)</f>
        <v>3450.3</v>
      </c>
      <c r="AA22" s="33">
        <f t="shared" si="13"/>
        <v>190.80000000000018</v>
      </c>
      <c r="AB22" s="42">
        <f t="shared" si="14"/>
        <v>270.3000000000002</v>
      </c>
      <c r="AC22" s="42">
        <f>AC14</f>
        <v>3709.0750000000003</v>
      </c>
      <c r="AD22" s="42">
        <f t="shared" si="15"/>
        <v>258.7750000000001</v>
      </c>
      <c r="AE22" s="33">
        <f>2.5*'[2]Труд_по старости'!AF9</f>
        <v>4200</v>
      </c>
      <c r="AF22" s="33">
        <f t="shared" si="16"/>
        <v>490.9249999999997</v>
      </c>
      <c r="AG22" s="42">
        <f t="shared" si="17"/>
        <v>749.6999999999998</v>
      </c>
      <c r="AH22" s="42">
        <f>ROUND(2.5*'[2]Труд_по старости'!AI9,2)</f>
        <v>4494</v>
      </c>
      <c r="AI22" s="42">
        <f>2.5*'[2]Труд_по старости'!AJ9</f>
        <v>4431</v>
      </c>
      <c r="AJ22" s="42">
        <f>ROUND(2.5*'[2]Труд_по старости'!AK9,2)</f>
        <v>5150</v>
      </c>
      <c r="AK22" s="72">
        <f>2.5*'[2]Труд_по старости'!AL9</f>
        <v>5080</v>
      </c>
      <c r="AL22" s="42">
        <f>2.5*'[2]Труд_по старости'!AQ9</f>
        <v>5359.400000000001</v>
      </c>
      <c r="AM22" s="72">
        <f>2.5*'[2]Труд_по старости'!AR9</f>
        <v>6040</v>
      </c>
      <c r="AN22" s="116">
        <f>2.5*'[2]Труд_по старости'!AS9</f>
        <v>5573.125</v>
      </c>
      <c r="AO22" s="96">
        <f t="shared" si="18"/>
        <v>6945.999999999999</v>
      </c>
      <c r="AP22" s="114">
        <v>1926.53</v>
      </c>
      <c r="AQ22" s="96">
        <f t="shared" si="19"/>
        <v>8872.529999999999</v>
      </c>
      <c r="AR22" s="96">
        <f t="shared" si="20"/>
        <v>7248</v>
      </c>
      <c r="AS22" s="114">
        <f t="shared" si="21"/>
        <v>9174.53</v>
      </c>
      <c r="AT22" s="96">
        <f t="shared" si="22"/>
        <v>7852</v>
      </c>
      <c r="AU22" s="96">
        <f t="shared" si="23"/>
        <v>9778.53</v>
      </c>
      <c r="AV22" s="96">
        <f t="shared" si="24"/>
        <v>8456</v>
      </c>
      <c r="AW22" s="114">
        <f t="shared" si="25"/>
        <v>10382.53</v>
      </c>
      <c r="AX22" s="96">
        <f t="shared" si="26"/>
        <v>9060</v>
      </c>
      <c r="AY22" s="96">
        <f t="shared" si="27"/>
        <v>10986.53</v>
      </c>
      <c r="AZ22" s="96">
        <f t="shared" si="28"/>
        <v>9664</v>
      </c>
      <c r="BA22" s="96">
        <f t="shared" si="29"/>
        <v>11590.53</v>
      </c>
      <c r="BB22" s="96">
        <f t="shared" si="30"/>
        <v>10268</v>
      </c>
      <c r="BC22" s="96">
        <f t="shared" si="31"/>
        <v>12194.53</v>
      </c>
      <c r="BD22" s="114">
        <f t="shared" si="32"/>
        <v>10872</v>
      </c>
      <c r="BE22" s="96">
        <f t="shared" si="33"/>
        <v>12798.53</v>
      </c>
      <c r="BF22" s="96">
        <f t="shared" si="34"/>
        <v>12080</v>
      </c>
      <c r="BG22" s="96">
        <f t="shared" si="35"/>
        <v>14006.53</v>
      </c>
      <c r="BH22" s="33">
        <f>2.5*'[2]Труд_по старости'!DE9</f>
        <v>5500.2</v>
      </c>
      <c r="BI22" s="33">
        <f>2.5*'[2]Труд_по старости'!DF9</f>
        <v>6500</v>
      </c>
      <c r="BJ22" s="78">
        <f>2.5*'[2]Труд_по старости'!BP9</f>
        <v>5200</v>
      </c>
      <c r="BK22" s="33">
        <f t="shared" si="36"/>
        <v>1000</v>
      </c>
      <c r="BL22" s="33">
        <f>BL14</f>
        <v>4840</v>
      </c>
      <c r="BM22" s="38">
        <f t="shared" si="37"/>
        <v>640</v>
      </c>
      <c r="BN22" s="33">
        <f>2.5*'[2]Труд_по старости'!BT9</f>
        <v>5980</v>
      </c>
      <c r="BO22" s="38">
        <f t="shared" si="38"/>
        <v>780</v>
      </c>
    </row>
    <row r="23" spans="1:67" ht="12.75">
      <c r="A23" s="34" t="s">
        <v>75</v>
      </c>
      <c r="B23" s="34"/>
      <c r="C23" s="42">
        <f>ROUND('[2]Труд_по старости'!B10*2.5,2)</f>
        <v>1875</v>
      </c>
      <c r="D23" s="42">
        <f>ROUND('[2]Труд_по старости'!C10*2.5,2)</f>
        <v>1996.88</v>
      </c>
      <c r="E23" s="42">
        <f>ROUND('[2]Труд_по старости'!D10*2.5,2)</f>
        <v>2176.6</v>
      </c>
      <c r="F23" s="42">
        <f t="shared" si="40"/>
        <v>130.5999999999999</v>
      </c>
      <c r="G23" s="42">
        <f>ROUND('[2]Труд_по старости'!F10*2.5,2)</f>
        <v>2307.2</v>
      </c>
      <c r="H23" s="33">
        <f>H15</f>
        <v>2491.78</v>
      </c>
      <c r="I23" s="42">
        <f t="shared" si="41"/>
        <v>315.1800000000003</v>
      </c>
      <c r="J23" s="42">
        <f>ROUND(H23*J$5,2)</f>
        <v>2587.53</v>
      </c>
      <c r="K23" s="42">
        <f t="shared" si="42"/>
        <v>95.75</v>
      </c>
      <c r="L23" s="33">
        <f t="shared" si="39"/>
        <v>2750.03</v>
      </c>
      <c r="M23" s="33">
        <f t="shared" si="3"/>
        <v>258.25</v>
      </c>
      <c r="N23" s="33">
        <f>ROUND('[2]Труд_по старости'!M10*2.5,2)</f>
        <v>3750.03</v>
      </c>
      <c r="O23" s="33">
        <f t="shared" si="4"/>
        <v>1000</v>
      </c>
      <c r="P23" s="72">
        <f>ROUND('[2]Труд_по старости'!O10*2.5,2)</f>
        <v>3750</v>
      </c>
      <c r="Q23" s="79">
        <f t="shared" si="5"/>
        <v>999.9699999999998</v>
      </c>
      <c r="R23" s="51">
        <f t="shared" si="6"/>
        <v>4312.5</v>
      </c>
      <c r="S23" s="46">
        <f t="shared" si="7"/>
        <v>5175</v>
      </c>
      <c r="T23" s="46">
        <f t="shared" si="8"/>
        <v>7500</v>
      </c>
      <c r="U23" s="8">
        <f t="shared" si="9"/>
        <v>1380</v>
      </c>
      <c r="V23" s="33">
        <f t="shared" si="10"/>
        <v>2000</v>
      </c>
      <c r="W23">
        <f t="shared" si="11"/>
        <v>1380</v>
      </c>
      <c r="X23" s="38">
        <f>ROUND('[2]Труд_по старости'!X10*2.5,2)</f>
        <v>3975</v>
      </c>
      <c r="Y23" s="33">
        <f t="shared" si="12"/>
        <v>4213.5</v>
      </c>
      <c r="Z23" s="42">
        <f>ROUND('[2]Труд_по старости'!AA10*2.5,2)</f>
        <v>4312.88</v>
      </c>
      <c r="AA23" s="33">
        <f t="shared" si="13"/>
        <v>238.5</v>
      </c>
      <c r="AB23" s="42">
        <f t="shared" si="14"/>
        <v>337.8800000000001</v>
      </c>
      <c r="AC23" s="42">
        <f>AC15</f>
        <v>4636.35</v>
      </c>
      <c r="AD23" s="42">
        <f t="shared" si="15"/>
        <v>323.47000000000025</v>
      </c>
      <c r="AE23" s="33">
        <f>2.5*'[2]Труд_по старости'!AF10</f>
        <v>5250</v>
      </c>
      <c r="AF23" s="33">
        <f t="shared" si="16"/>
        <v>613.6499999999996</v>
      </c>
      <c r="AG23" s="42">
        <f t="shared" si="17"/>
        <v>937.1199999999999</v>
      </c>
      <c r="AH23" s="42">
        <f>ROUND(2.5*'[2]Труд_по старости'!AI10,2)</f>
        <v>5617.5</v>
      </c>
      <c r="AI23" s="42">
        <f>2.5*'[2]Труд_по старости'!AJ10</f>
        <v>5538.75</v>
      </c>
      <c r="AJ23" s="42">
        <f>ROUND(2.5*'[2]Труд_по старости'!AK10,2)</f>
        <v>6437.5</v>
      </c>
      <c r="AK23" s="72">
        <f>2.5*'[2]Труд_по старости'!AL10</f>
        <v>6350</v>
      </c>
      <c r="AL23" s="42">
        <f>2.5*'[2]Труд_по старости'!AQ10</f>
        <v>6699.25</v>
      </c>
      <c r="AM23" s="72">
        <f>2.5*'[2]Труд_по старости'!AR10</f>
        <v>7550</v>
      </c>
      <c r="AN23" s="116">
        <f>2.5*'[2]Труд_по старости'!AS10</f>
        <v>6966.425</v>
      </c>
      <c r="AO23" s="96">
        <f t="shared" si="18"/>
        <v>8682.5</v>
      </c>
      <c r="AP23" s="114">
        <v>1926.53</v>
      </c>
      <c r="AQ23" s="96">
        <f t="shared" si="19"/>
        <v>10609.03</v>
      </c>
      <c r="AR23" s="96">
        <f t="shared" si="20"/>
        <v>9060</v>
      </c>
      <c r="AS23" s="114">
        <f t="shared" si="21"/>
        <v>10986.53</v>
      </c>
      <c r="AT23" s="96">
        <f t="shared" si="22"/>
        <v>9815</v>
      </c>
      <c r="AU23" s="96">
        <f t="shared" si="23"/>
        <v>11741.53</v>
      </c>
      <c r="AV23" s="96">
        <f t="shared" si="24"/>
        <v>10570</v>
      </c>
      <c r="AW23" s="114">
        <f t="shared" si="25"/>
        <v>12496.53</v>
      </c>
      <c r="AX23" s="96">
        <f t="shared" si="26"/>
        <v>11325</v>
      </c>
      <c r="AY23" s="96">
        <f t="shared" si="27"/>
        <v>13251.53</v>
      </c>
      <c r="AZ23" s="96">
        <f t="shared" si="28"/>
        <v>12080</v>
      </c>
      <c r="BA23" s="96">
        <f t="shared" si="29"/>
        <v>14006.53</v>
      </c>
      <c r="BB23" s="96">
        <f t="shared" si="30"/>
        <v>12835</v>
      </c>
      <c r="BC23" s="96">
        <f t="shared" si="31"/>
        <v>14761.53</v>
      </c>
      <c r="BD23" s="114">
        <f t="shared" si="32"/>
        <v>13590</v>
      </c>
      <c r="BE23" s="96">
        <f t="shared" si="33"/>
        <v>15516.53</v>
      </c>
      <c r="BF23" s="96">
        <f t="shared" si="34"/>
        <v>15100</v>
      </c>
      <c r="BG23" s="96">
        <f t="shared" si="35"/>
        <v>17026.53</v>
      </c>
      <c r="BH23" s="33">
        <f>2.5*'[2]Труд_по старости'!DE10</f>
        <v>6875.25</v>
      </c>
      <c r="BI23" s="33">
        <f>2.5*'[2]Труд_по старости'!DF10</f>
        <v>8125</v>
      </c>
      <c r="BJ23" s="78">
        <f>2.5*'[2]Труд_по старости'!BP10</f>
        <v>6500</v>
      </c>
      <c r="BK23" s="33">
        <f t="shared" si="36"/>
        <v>1250</v>
      </c>
      <c r="BL23" s="33">
        <f>BL15</f>
        <v>6050</v>
      </c>
      <c r="BM23" s="38">
        <f t="shared" si="37"/>
        <v>800</v>
      </c>
      <c r="BN23" s="33">
        <f>2.5*'[2]Труд_по старости'!BT10</f>
        <v>7475</v>
      </c>
      <c r="BO23" s="38">
        <f t="shared" si="38"/>
        <v>975</v>
      </c>
    </row>
    <row r="24" spans="1:67" ht="12.75">
      <c r="A24" s="34" t="s">
        <v>76</v>
      </c>
      <c r="B24" s="34"/>
      <c r="C24" s="42">
        <f>ROUND('[2]Труд_по старости'!B11*2.5,2)</f>
        <v>2250</v>
      </c>
      <c r="D24" s="42">
        <f>ROUND('[2]Труд_по старости'!C11*2.5,2)</f>
        <v>2396.25</v>
      </c>
      <c r="E24" s="42">
        <f>ROUND('[2]Труд_по старости'!D11*2.5,2)</f>
        <v>2611.93</v>
      </c>
      <c r="F24" s="42">
        <f t="shared" si="40"/>
        <v>156.72000000000025</v>
      </c>
      <c r="G24" s="42">
        <f>ROUND('[2]Труд_по старости'!F11*2.5,2)</f>
        <v>2768.65</v>
      </c>
      <c r="H24" s="33">
        <f>H16</f>
        <v>2990.15</v>
      </c>
      <c r="I24" s="42">
        <f t="shared" si="41"/>
        <v>378.22000000000025</v>
      </c>
      <c r="J24" s="42">
        <f>ROUND(H24*J$5,2)</f>
        <v>3105.05</v>
      </c>
      <c r="K24" s="42">
        <f t="shared" si="42"/>
        <v>114.90000000000009</v>
      </c>
      <c r="L24" s="33">
        <f t="shared" si="39"/>
        <v>3300.05</v>
      </c>
      <c r="M24" s="33">
        <f t="shared" si="3"/>
        <v>309.9000000000001</v>
      </c>
      <c r="N24" s="33">
        <f>ROUND('[2]Труд_по старости'!M11*2.5,2)</f>
        <v>4500.08</v>
      </c>
      <c r="O24" s="33">
        <f t="shared" si="4"/>
        <v>1200.0299999999997</v>
      </c>
      <c r="P24" s="72">
        <f>ROUND('[2]Труд_по старости'!O11*2.5,2)</f>
        <v>4500</v>
      </c>
      <c r="Q24" s="79">
        <f t="shared" si="5"/>
        <v>1199.9499999999998</v>
      </c>
      <c r="R24" s="51">
        <f t="shared" si="6"/>
        <v>5175</v>
      </c>
      <c r="S24" s="46">
        <f t="shared" si="7"/>
        <v>6210</v>
      </c>
      <c r="T24" s="46">
        <f t="shared" si="8"/>
        <v>9000</v>
      </c>
      <c r="U24" s="8">
        <f t="shared" si="9"/>
        <v>1656</v>
      </c>
      <c r="V24" s="33">
        <f t="shared" si="10"/>
        <v>2400</v>
      </c>
      <c r="W24">
        <f t="shared" si="11"/>
        <v>1656</v>
      </c>
      <c r="X24" s="38">
        <f>ROUND('[2]Труд_по старости'!X11*2.5,2)</f>
        <v>4770</v>
      </c>
      <c r="Y24" s="33">
        <f t="shared" si="12"/>
        <v>5056.2</v>
      </c>
      <c r="Z24" s="42">
        <f>ROUND('[2]Труд_по старости'!AA11*2.5,2)</f>
        <v>5175.45</v>
      </c>
      <c r="AA24" s="33">
        <f t="shared" si="13"/>
        <v>286.1999999999998</v>
      </c>
      <c r="AB24" s="42">
        <f t="shared" si="14"/>
        <v>405.4499999999998</v>
      </c>
      <c r="AC24" s="42">
        <f>AC16</f>
        <v>5563.6</v>
      </c>
      <c r="AD24" s="42">
        <f t="shared" si="15"/>
        <v>388.15000000000055</v>
      </c>
      <c r="AE24" s="33">
        <f>2.5*'[2]Труд_по старости'!AF11</f>
        <v>6300</v>
      </c>
      <c r="AF24" s="33">
        <f t="shared" si="16"/>
        <v>736.3999999999996</v>
      </c>
      <c r="AG24" s="42">
        <f t="shared" si="17"/>
        <v>1124.5500000000002</v>
      </c>
      <c r="AH24" s="42">
        <f>ROUND(2.5*'[2]Труд_по старости'!AI11,2)</f>
        <v>6741</v>
      </c>
      <c r="AI24" s="42">
        <f>2.5*'[2]Труд_по старости'!AJ11</f>
        <v>6646.5</v>
      </c>
      <c r="AJ24" s="42">
        <f>ROUND(2.5*'[2]Труд_по старости'!AK11,2)</f>
        <v>7725</v>
      </c>
      <c r="AK24" s="72">
        <f>2.5*'[2]Труд_по старости'!AL11</f>
        <v>7620</v>
      </c>
      <c r="AL24" s="42">
        <f>2.5*'[2]Труд_по старости'!AQ11</f>
        <v>8039.099999999999</v>
      </c>
      <c r="AM24" s="72">
        <f>2.5*'[2]Труд_по старости'!AR11</f>
        <v>9060</v>
      </c>
      <c r="AN24" s="116">
        <f>2.5*'[2]Труд_по старости'!AS11</f>
        <v>8359.7</v>
      </c>
      <c r="AO24" s="96">
        <f t="shared" si="18"/>
        <v>10419</v>
      </c>
      <c r="AP24" s="114">
        <v>1926.53</v>
      </c>
      <c r="AQ24" s="96">
        <f t="shared" si="19"/>
        <v>12345.53</v>
      </c>
      <c r="AR24" s="96">
        <f t="shared" si="20"/>
        <v>10872</v>
      </c>
      <c r="AS24" s="114">
        <f t="shared" si="21"/>
        <v>12798.53</v>
      </c>
      <c r="AT24" s="96">
        <f t="shared" si="22"/>
        <v>11778</v>
      </c>
      <c r="AU24" s="96">
        <f t="shared" si="23"/>
        <v>13704.53</v>
      </c>
      <c r="AV24" s="96">
        <f t="shared" si="24"/>
        <v>12684</v>
      </c>
      <c r="AW24" s="114">
        <f t="shared" si="25"/>
        <v>14610.53</v>
      </c>
      <c r="AX24" s="96">
        <f t="shared" si="26"/>
        <v>13590</v>
      </c>
      <c r="AY24" s="96">
        <f t="shared" si="27"/>
        <v>15516.53</v>
      </c>
      <c r="AZ24" s="96">
        <f t="shared" si="28"/>
        <v>14496</v>
      </c>
      <c r="BA24" s="96">
        <f t="shared" si="29"/>
        <v>16422.53</v>
      </c>
      <c r="BB24" s="96">
        <f t="shared" si="30"/>
        <v>15402</v>
      </c>
      <c r="BC24" s="96">
        <f t="shared" si="31"/>
        <v>17328.53</v>
      </c>
      <c r="BD24" s="114">
        <f t="shared" si="32"/>
        <v>16308</v>
      </c>
      <c r="BE24" s="96">
        <f t="shared" si="33"/>
        <v>18234.53</v>
      </c>
      <c r="BF24" s="96">
        <f t="shared" si="34"/>
        <v>18120</v>
      </c>
      <c r="BG24" s="96">
        <f t="shared" si="35"/>
        <v>20046.53</v>
      </c>
      <c r="BH24" s="33">
        <f>2.5*'[2]Труд_по старости'!DE11</f>
        <v>8250.3</v>
      </c>
      <c r="BI24" s="33">
        <f>2.5*'[2]Труд_по старости'!DF11</f>
        <v>9750.000015063</v>
      </c>
      <c r="BJ24" s="78">
        <f>2.5*'[2]Труд_по старости'!BP11</f>
        <v>7800</v>
      </c>
      <c r="BK24" s="33">
        <f t="shared" si="36"/>
        <v>1500</v>
      </c>
      <c r="BL24" s="33">
        <f>BL16</f>
        <v>7260</v>
      </c>
      <c r="BM24" s="38">
        <f t="shared" si="37"/>
        <v>960</v>
      </c>
      <c r="BN24" s="33">
        <f>2.5*'[2]Труд_по старости'!BT11</f>
        <v>8970</v>
      </c>
      <c r="BO24" s="38">
        <f t="shared" si="38"/>
        <v>1170</v>
      </c>
    </row>
    <row r="25" spans="1:67" ht="12.75">
      <c r="A25" s="32" t="s">
        <v>90</v>
      </c>
      <c r="B25" s="32" t="s">
        <v>105</v>
      </c>
      <c r="C25" s="42"/>
      <c r="D25" s="42">
        <f>ROUND(C25*1.065,2)</f>
        <v>0</v>
      </c>
      <c r="E25" s="42">
        <f>ROUND(D25*1.09,2)</f>
        <v>0</v>
      </c>
      <c r="F25" s="42">
        <f t="shared" si="40"/>
        <v>0</v>
      </c>
      <c r="G25" s="42">
        <f>ROUND(E25*1.06,2)</f>
        <v>0</v>
      </c>
      <c r="H25" s="33">
        <f>ROUND(G25*1.08,2)</f>
        <v>0</v>
      </c>
      <c r="I25" s="42">
        <f t="shared" si="41"/>
        <v>0</v>
      </c>
      <c r="J25" s="42">
        <f>ROUND(H25*J$5,2)</f>
        <v>0</v>
      </c>
      <c r="K25" s="42">
        <f t="shared" si="42"/>
        <v>0</v>
      </c>
      <c r="L25" s="33">
        <f t="shared" si="39"/>
        <v>0</v>
      </c>
      <c r="M25" s="33">
        <f t="shared" si="3"/>
        <v>0</v>
      </c>
      <c r="N25" s="33">
        <f>ROUND(L25*N$5,2)</f>
        <v>0</v>
      </c>
      <c r="O25" s="33">
        <f t="shared" si="4"/>
        <v>0</v>
      </c>
      <c r="P25" s="72"/>
      <c r="Q25" s="46"/>
      <c r="R25" s="51">
        <f t="shared" si="6"/>
        <v>0</v>
      </c>
      <c r="S25" s="46">
        <f t="shared" si="7"/>
        <v>0</v>
      </c>
      <c r="T25" s="46">
        <f t="shared" si="8"/>
        <v>0</v>
      </c>
      <c r="U25" s="8">
        <f t="shared" si="9"/>
        <v>0</v>
      </c>
      <c r="V25" s="33">
        <f t="shared" si="10"/>
        <v>0</v>
      </c>
      <c r="W25">
        <f t="shared" si="11"/>
        <v>0</v>
      </c>
      <c r="X25" s="38"/>
      <c r="Y25" s="33">
        <f t="shared" si="12"/>
        <v>0</v>
      </c>
      <c r="Z25" s="42">
        <f>X25*1.085</f>
        <v>0</v>
      </c>
      <c r="AA25" s="33">
        <f t="shared" si="13"/>
        <v>0</v>
      </c>
      <c r="AB25" s="42">
        <f t="shared" si="14"/>
        <v>0</v>
      </c>
      <c r="AC25" s="33"/>
      <c r="AD25" s="42">
        <f t="shared" si="15"/>
        <v>0</v>
      </c>
      <c r="AE25" s="33"/>
      <c r="AF25" s="33">
        <f t="shared" si="16"/>
        <v>0</v>
      </c>
      <c r="AG25" s="42">
        <f t="shared" si="17"/>
        <v>0</v>
      </c>
      <c r="AH25" s="42"/>
      <c r="AI25" s="34"/>
      <c r="AJ25" s="34"/>
      <c r="AK25" s="120"/>
      <c r="AL25" s="34"/>
      <c r="AM25" s="120"/>
      <c r="AN25" s="113"/>
      <c r="AO25" s="96">
        <f t="shared" si="18"/>
        <v>0</v>
      </c>
      <c r="AP25" s="114"/>
      <c r="AQ25" s="96">
        <f t="shared" si="19"/>
        <v>0</v>
      </c>
      <c r="AR25" s="96">
        <f t="shared" si="20"/>
        <v>0</v>
      </c>
      <c r="AS25" s="114">
        <f t="shared" si="21"/>
        <v>0</v>
      </c>
      <c r="AT25" s="96">
        <f t="shared" si="22"/>
        <v>0</v>
      </c>
      <c r="AU25" s="96">
        <f t="shared" si="23"/>
        <v>0</v>
      </c>
      <c r="AV25" s="96">
        <f t="shared" si="24"/>
        <v>0</v>
      </c>
      <c r="AW25" s="114">
        <f t="shared" si="25"/>
        <v>0</v>
      </c>
      <c r="AX25" s="96">
        <f t="shared" si="26"/>
        <v>0</v>
      </c>
      <c r="AY25" s="96">
        <f t="shared" si="27"/>
        <v>0</v>
      </c>
      <c r="AZ25" s="96">
        <f t="shared" si="28"/>
        <v>0</v>
      </c>
      <c r="BA25" s="96">
        <f t="shared" si="29"/>
        <v>0</v>
      </c>
      <c r="BB25" s="96">
        <f t="shared" si="30"/>
        <v>0</v>
      </c>
      <c r="BC25" s="96">
        <f t="shared" si="31"/>
        <v>0</v>
      </c>
      <c r="BD25" s="114">
        <f t="shared" si="32"/>
        <v>0</v>
      </c>
      <c r="BE25" s="96">
        <f t="shared" si="33"/>
        <v>0</v>
      </c>
      <c r="BF25" s="96">
        <f t="shared" si="34"/>
        <v>0</v>
      </c>
      <c r="BG25" s="96">
        <f t="shared" si="35"/>
        <v>0</v>
      </c>
      <c r="BH25" s="34"/>
      <c r="BI25" s="34"/>
      <c r="BJ25" s="78"/>
      <c r="BK25" s="33">
        <f t="shared" si="36"/>
        <v>0</v>
      </c>
      <c r="BL25" s="33"/>
      <c r="BM25" s="38">
        <f t="shared" si="37"/>
        <v>0</v>
      </c>
      <c r="BN25" s="33"/>
      <c r="BO25" s="38">
        <f t="shared" si="38"/>
        <v>0</v>
      </c>
    </row>
    <row r="26" spans="1:67" ht="12.75">
      <c r="A26" s="34" t="s">
        <v>73</v>
      </c>
      <c r="B26" s="34"/>
      <c r="C26" s="42">
        <f>ROUND('[2]Труд_по старости'!B8*2,2)</f>
        <v>900</v>
      </c>
      <c r="D26" s="42">
        <f>ROUND('[2]Труд_по старости'!C8*2,2)</f>
        <v>958.5</v>
      </c>
      <c r="E26" s="42">
        <f>ROUND('[2]Труд_по старости'!D8*2,2)</f>
        <v>1044.76</v>
      </c>
      <c r="F26" s="42">
        <f t="shared" si="40"/>
        <v>62.680000000000064</v>
      </c>
      <c r="G26" s="42">
        <f>ROUND('[2]Труд_по старости'!F8*2,2)</f>
        <v>1107.44</v>
      </c>
      <c r="H26" s="33">
        <f>ROUND('[2]Труд_по старости'!G8*2,2)</f>
        <v>1196.04</v>
      </c>
      <c r="I26" s="42">
        <f t="shared" si="41"/>
        <v>151.27999999999997</v>
      </c>
      <c r="J26" s="42">
        <f>ROUND('[2]Труд_по старости'!I8*2,2)</f>
        <v>1242</v>
      </c>
      <c r="K26" s="42">
        <f t="shared" si="42"/>
        <v>45.960000000000036</v>
      </c>
      <c r="L26" s="75">
        <f>ROUND('[2]Труд_по старости'!K8*2,2)</f>
        <v>1320</v>
      </c>
      <c r="M26" s="45">
        <f t="shared" si="3"/>
        <v>123.96000000000004</v>
      </c>
      <c r="N26" s="45">
        <f>ROUND('[2]Труд_по старости'!M8*2,2)</f>
        <v>1800</v>
      </c>
      <c r="O26" s="45">
        <f t="shared" si="4"/>
        <v>480</v>
      </c>
      <c r="P26" s="115">
        <f>ROUND('[2]Труд_по старости'!O8*2,2)</f>
        <v>1800</v>
      </c>
      <c r="Q26" s="48">
        <f aca="true" t="shared" si="43" ref="Q26:Q31">P26-L26</f>
        <v>480</v>
      </c>
      <c r="R26" s="47">
        <f t="shared" si="6"/>
        <v>2070</v>
      </c>
      <c r="S26" s="48">
        <f t="shared" si="7"/>
        <v>2484</v>
      </c>
      <c r="T26" s="48">
        <f t="shared" si="8"/>
        <v>3600</v>
      </c>
      <c r="U26" s="11">
        <f t="shared" si="9"/>
        <v>662</v>
      </c>
      <c r="V26" s="49">
        <f t="shared" si="10"/>
        <v>960</v>
      </c>
      <c r="W26">
        <f t="shared" si="11"/>
        <v>662</v>
      </c>
      <c r="X26" s="38">
        <f>ROUND('[2]Труд_по старости'!X8*2,2)</f>
        <v>1908</v>
      </c>
      <c r="Y26" s="33">
        <f t="shared" si="12"/>
        <v>2022.48</v>
      </c>
      <c r="Z26" s="42">
        <f>ROUND('[2]Труд_по старости'!AA8*2,2)</f>
        <v>2070.18</v>
      </c>
      <c r="AA26" s="33">
        <f t="shared" si="13"/>
        <v>114.48000000000002</v>
      </c>
      <c r="AB26" s="42">
        <f t="shared" si="14"/>
        <v>162.17999999999984</v>
      </c>
      <c r="AC26" s="42">
        <f>'[2]Труд_по старости'!AD8*2</f>
        <v>2225.44</v>
      </c>
      <c r="AD26" s="42">
        <f t="shared" si="15"/>
        <v>155.26000000000022</v>
      </c>
      <c r="AE26" s="33">
        <f>2*'[2]Труд_по старости'!AF8</f>
        <v>2520</v>
      </c>
      <c r="AF26" s="33">
        <f t="shared" si="16"/>
        <v>294.55999999999995</v>
      </c>
      <c r="AG26" s="42">
        <f t="shared" si="17"/>
        <v>449.82000000000016</v>
      </c>
      <c r="AH26" s="42">
        <f>ROUND(2*'[2]Труд_по старости'!AI8,2)</f>
        <v>2696.4</v>
      </c>
      <c r="AI26" s="42">
        <f>2*'[2]Труд_по старости'!AJ8</f>
        <v>2658.6</v>
      </c>
      <c r="AJ26" s="42">
        <f>ROUND(2*'[2]Труд_по старости'!AK8,2)</f>
        <v>3090</v>
      </c>
      <c r="AK26" s="72">
        <f>2*'[2]Труд_по старости'!AL8</f>
        <v>3048</v>
      </c>
      <c r="AL26" s="42">
        <f>2*'[2]Труд_по старости'!AQ8</f>
        <v>3215.64</v>
      </c>
      <c r="AM26" s="72">
        <f>2*'[2]Труд_по старости'!AR8</f>
        <v>3624</v>
      </c>
      <c r="AN26" s="116">
        <f>2*'[2]Труд_по старости'!AS8</f>
        <v>3343.88</v>
      </c>
      <c r="AO26" s="96">
        <f t="shared" si="18"/>
        <v>4167.599999999999</v>
      </c>
      <c r="AP26" s="114">
        <f>1376.1</f>
        <v>1376.1</v>
      </c>
      <c r="AQ26" s="96">
        <f t="shared" si="19"/>
        <v>5543.699999999999</v>
      </c>
      <c r="AR26" s="96">
        <f t="shared" si="20"/>
        <v>4348.8</v>
      </c>
      <c r="AS26" s="114">
        <f t="shared" si="21"/>
        <v>5724.9</v>
      </c>
      <c r="AT26" s="96">
        <f t="shared" si="22"/>
        <v>4711.2</v>
      </c>
      <c r="AU26" s="96">
        <f t="shared" si="23"/>
        <v>6087.299999999999</v>
      </c>
      <c r="AV26" s="96">
        <f t="shared" si="24"/>
        <v>5073.599999999999</v>
      </c>
      <c r="AW26" s="114">
        <f t="shared" si="25"/>
        <v>6449.699999999999</v>
      </c>
      <c r="AX26" s="96">
        <f t="shared" si="26"/>
        <v>5436</v>
      </c>
      <c r="AY26" s="96">
        <f t="shared" si="27"/>
        <v>6812.1</v>
      </c>
      <c r="AZ26" s="96">
        <f t="shared" si="28"/>
        <v>5798.400000000001</v>
      </c>
      <c r="BA26" s="96">
        <f t="shared" si="29"/>
        <v>7174.5</v>
      </c>
      <c r="BB26" s="96">
        <f t="shared" si="30"/>
        <v>6160.8</v>
      </c>
      <c r="BC26" s="96">
        <f t="shared" si="31"/>
        <v>7536.9</v>
      </c>
      <c r="BD26" s="114">
        <f t="shared" si="32"/>
        <v>6523.2</v>
      </c>
      <c r="BE26" s="96">
        <f t="shared" si="33"/>
        <v>7899.299999999999</v>
      </c>
      <c r="BF26" s="96">
        <f t="shared" si="34"/>
        <v>7248</v>
      </c>
      <c r="BG26" s="96">
        <f t="shared" si="35"/>
        <v>8624.1</v>
      </c>
      <c r="BH26" s="33">
        <f>ROUND(2*'[2]Труд_по старости'!DE8,2)</f>
        <v>3300.12</v>
      </c>
      <c r="BI26" s="33">
        <f>ROUND(2*'[2]Труд_по старости'!DF8,2)</f>
        <v>3900</v>
      </c>
      <c r="BJ26" s="78">
        <f>2*'[2]Труд_по старости'!BP8</f>
        <v>3120</v>
      </c>
      <c r="BK26" s="33">
        <f t="shared" si="36"/>
        <v>600</v>
      </c>
      <c r="BL26" s="33">
        <f>2*'[2]Труд_по старости'!BR8</f>
        <v>2904</v>
      </c>
      <c r="BM26" s="38">
        <f t="shared" si="37"/>
        <v>384</v>
      </c>
      <c r="BN26" s="33">
        <f>2*'[2]Труд_по старости'!BT8</f>
        <v>3588</v>
      </c>
      <c r="BO26" s="38">
        <f t="shared" si="38"/>
        <v>468</v>
      </c>
    </row>
    <row r="27" spans="1:67" ht="12.75">
      <c r="A27" s="34" t="s">
        <v>74</v>
      </c>
      <c r="B27" s="34"/>
      <c r="C27" s="42">
        <f>ROUND('[2]Труд_по старости'!B9*2,2)</f>
        <v>1200</v>
      </c>
      <c r="D27" s="42">
        <f>ROUND('[2]Труд_по старости'!C9*2,2)</f>
        <v>1278</v>
      </c>
      <c r="E27" s="42">
        <f>ROUND('[2]Труд_по старости'!D9*2,2)</f>
        <v>1393.02</v>
      </c>
      <c r="F27" s="42">
        <f t="shared" si="40"/>
        <v>83.57999999999993</v>
      </c>
      <c r="G27" s="42">
        <f>ROUND('[2]Труд_по старости'!F9*2,2)</f>
        <v>1476.6</v>
      </c>
      <c r="H27" s="33">
        <f>ROUND('[2]Труд_по старости'!G9*2,2)</f>
        <v>1594.72</v>
      </c>
      <c r="I27" s="42">
        <f t="shared" si="41"/>
        <v>201.70000000000005</v>
      </c>
      <c r="J27" s="42">
        <f>ROUND('[2]Труд_по старости'!I9*2,2)</f>
        <v>1656</v>
      </c>
      <c r="K27" s="42">
        <f t="shared" si="42"/>
        <v>61.27999999999997</v>
      </c>
      <c r="L27" s="42">
        <f>ROUND('[2]Труд_по старости'!K9*2,2)</f>
        <v>1760</v>
      </c>
      <c r="M27" s="33">
        <f t="shared" si="3"/>
        <v>165.27999999999997</v>
      </c>
      <c r="N27" s="33">
        <f>ROUND('[2]Труд_по старости'!M9*2,2)</f>
        <v>2400</v>
      </c>
      <c r="O27" s="33">
        <f t="shared" si="4"/>
        <v>640</v>
      </c>
      <c r="P27" s="72">
        <f>ROUND('[2]Труд_по старости'!O9*2,2)</f>
        <v>2400</v>
      </c>
      <c r="Q27" s="46">
        <f t="shared" si="43"/>
        <v>640</v>
      </c>
      <c r="R27" s="51">
        <f t="shared" si="6"/>
        <v>2760</v>
      </c>
      <c r="S27" s="46">
        <f t="shared" si="7"/>
        <v>3312</v>
      </c>
      <c r="T27" s="46">
        <f t="shared" si="8"/>
        <v>4800</v>
      </c>
      <c r="U27" s="8">
        <f t="shared" si="9"/>
        <v>883</v>
      </c>
      <c r="V27" s="33">
        <f t="shared" si="10"/>
        <v>1280</v>
      </c>
      <c r="W27">
        <f t="shared" si="11"/>
        <v>883</v>
      </c>
      <c r="X27" s="38">
        <f>ROUND('[2]Труд_по старости'!X9*2,2)</f>
        <v>2544</v>
      </c>
      <c r="Y27" s="33">
        <f t="shared" si="12"/>
        <v>2696.6400000000003</v>
      </c>
      <c r="Z27" s="42">
        <f>ROUND('[2]Труд_по старости'!AA9*2,2)</f>
        <v>2760.24</v>
      </c>
      <c r="AA27" s="33">
        <f t="shared" si="13"/>
        <v>152.64000000000033</v>
      </c>
      <c r="AB27" s="42">
        <f t="shared" si="14"/>
        <v>216.23999999999978</v>
      </c>
      <c r="AC27" s="42">
        <f>'[2]Труд_по старости'!AD9*2</f>
        <v>2967.26</v>
      </c>
      <c r="AD27" s="42">
        <f t="shared" si="15"/>
        <v>207.02000000000044</v>
      </c>
      <c r="AE27" s="33">
        <f>2*'[2]Труд_по старости'!AF9</f>
        <v>3360</v>
      </c>
      <c r="AF27" s="33">
        <f t="shared" si="16"/>
        <v>392.7399999999998</v>
      </c>
      <c r="AG27" s="42">
        <f t="shared" si="17"/>
        <v>599.7600000000002</v>
      </c>
      <c r="AH27" s="42">
        <f>ROUND(2*'[2]Труд_по старости'!AI9,2)</f>
        <v>3595.2</v>
      </c>
      <c r="AI27" s="42">
        <f>2*'[2]Труд_по старости'!AJ9</f>
        <v>3544.8</v>
      </c>
      <c r="AJ27" s="42">
        <f>ROUND(2*'[2]Труд_по старости'!AK9,2)</f>
        <v>4120</v>
      </c>
      <c r="AK27" s="72">
        <f>2*'[2]Труд_по старости'!AL9</f>
        <v>4064</v>
      </c>
      <c r="AL27" s="42">
        <f>2*'[2]Труд_по старости'!AQ9</f>
        <v>4287.52</v>
      </c>
      <c r="AM27" s="72">
        <f>2*'[2]Труд_по старости'!AR9</f>
        <v>4832</v>
      </c>
      <c r="AN27" s="116">
        <f>2*'[2]Труд_по старости'!AS9</f>
        <v>4458.5</v>
      </c>
      <c r="AO27" s="96">
        <f t="shared" si="18"/>
        <v>5556.799999999999</v>
      </c>
      <c r="AP27" s="114">
        <f>1376.1</f>
        <v>1376.1</v>
      </c>
      <c r="AQ27" s="96">
        <f t="shared" si="19"/>
        <v>6932.9</v>
      </c>
      <c r="AR27" s="96">
        <f t="shared" si="20"/>
        <v>5798.4</v>
      </c>
      <c r="AS27" s="114">
        <f t="shared" si="21"/>
        <v>7174.5</v>
      </c>
      <c r="AT27" s="96">
        <f t="shared" si="22"/>
        <v>6281.6</v>
      </c>
      <c r="AU27" s="96">
        <f t="shared" si="23"/>
        <v>7657.700000000001</v>
      </c>
      <c r="AV27" s="96">
        <f t="shared" si="24"/>
        <v>6764.799999999999</v>
      </c>
      <c r="AW27" s="114">
        <f t="shared" si="25"/>
        <v>8140.9</v>
      </c>
      <c r="AX27" s="96">
        <f t="shared" si="26"/>
        <v>7248</v>
      </c>
      <c r="AY27" s="96">
        <f t="shared" si="27"/>
        <v>8624.1</v>
      </c>
      <c r="AZ27" s="96">
        <f t="shared" si="28"/>
        <v>7731.200000000001</v>
      </c>
      <c r="BA27" s="96">
        <f t="shared" si="29"/>
        <v>9107.300000000001</v>
      </c>
      <c r="BB27" s="96">
        <f t="shared" si="30"/>
        <v>8214.4</v>
      </c>
      <c r="BC27" s="96">
        <f t="shared" si="31"/>
        <v>9590.5</v>
      </c>
      <c r="BD27" s="114">
        <f t="shared" si="32"/>
        <v>8697.6</v>
      </c>
      <c r="BE27" s="96">
        <f t="shared" si="33"/>
        <v>10073.7</v>
      </c>
      <c r="BF27" s="96">
        <f t="shared" si="34"/>
        <v>9664</v>
      </c>
      <c r="BG27" s="96">
        <f t="shared" si="35"/>
        <v>11040.1</v>
      </c>
      <c r="BH27" s="33">
        <f>ROUND(2*'[2]Труд_по старости'!DE9,2)</f>
        <v>4400.16</v>
      </c>
      <c r="BI27" s="33">
        <f>ROUND(2*'[2]Труд_по старости'!DF9,2)</f>
        <v>5200</v>
      </c>
      <c r="BJ27" s="78">
        <f>2*'[2]Труд_по старости'!BP9</f>
        <v>4160</v>
      </c>
      <c r="BK27" s="33">
        <f t="shared" si="36"/>
        <v>800</v>
      </c>
      <c r="BL27" s="33">
        <f>2*'[2]Труд_по старости'!BR9</f>
        <v>3872</v>
      </c>
      <c r="BM27" s="38">
        <f t="shared" si="37"/>
        <v>512</v>
      </c>
      <c r="BN27" s="33">
        <f>2*'[2]Труд_по старости'!BT9</f>
        <v>4784</v>
      </c>
      <c r="BO27" s="38">
        <f t="shared" si="38"/>
        <v>624</v>
      </c>
    </row>
    <row r="28" spans="1:67" ht="12.75">
      <c r="A28" s="34" t="s">
        <v>75</v>
      </c>
      <c r="B28" s="34"/>
      <c r="C28" s="42">
        <f>ROUND('[2]Труд_по старости'!B10*2,2)</f>
        <v>1500</v>
      </c>
      <c r="D28" s="42">
        <f>ROUND('[2]Труд_по старости'!C10*2,2)</f>
        <v>1597.5</v>
      </c>
      <c r="E28" s="42">
        <f>ROUND('[2]Труд_по старости'!D10*2,2)</f>
        <v>1741.28</v>
      </c>
      <c r="F28" s="42">
        <f t="shared" si="40"/>
        <v>104.48000000000002</v>
      </c>
      <c r="G28" s="42">
        <f>ROUND('[2]Труд_по старости'!F10*2,2)</f>
        <v>1845.76</v>
      </c>
      <c r="H28" s="33">
        <f>ROUND('[2]Труд_по старости'!G10*2,2)</f>
        <v>1993.42</v>
      </c>
      <c r="I28" s="42">
        <f t="shared" si="41"/>
        <v>252.1400000000001</v>
      </c>
      <c r="J28" s="42">
        <f>ROUND('[2]Труд_по старости'!I10*2,2)</f>
        <v>2070.02</v>
      </c>
      <c r="K28" s="42">
        <f t="shared" si="42"/>
        <v>76.59999999999991</v>
      </c>
      <c r="L28" s="42">
        <f>ROUND('[2]Труд_по старости'!K10*2,2)</f>
        <v>2200.02</v>
      </c>
      <c r="M28" s="33">
        <f t="shared" si="3"/>
        <v>206.5999999999999</v>
      </c>
      <c r="N28" s="33">
        <f>ROUND('[2]Труд_по старости'!M10*2,2)</f>
        <v>3000.02</v>
      </c>
      <c r="O28" s="33">
        <f t="shared" si="4"/>
        <v>800</v>
      </c>
      <c r="P28" s="72">
        <f>ROUND('[2]Труд_по старости'!O10*2,2)</f>
        <v>3000</v>
      </c>
      <c r="Q28" s="46">
        <f t="shared" si="43"/>
        <v>799.98</v>
      </c>
      <c r="R28" s="51">
        <f t="shared" si="6"/>
        <v>3450</v>
      </c>
      <c r="S28" s="46">
        <f t="shared" si="7"/>
        <v>4140</v>
      </c>
      <c r="T28" s="46">
        <f t="shared" si="8"/>
        <v>6000</v>
      </c>
      <c r="U28" s="8">
        <f t="shared" si="9"/>
        <v>1104</v>
      </c>
      <c r="V28" s="33">
        <f t="shared" si="10"/>
        <v>1600</v>
      </c>
      <c r="W28">
        <f t="shared" si="11"/>
        <v>1104</v>
      </c>
      <c r="X28" s="38">
        <f>ROUND('[2]Труд_по старости'!X10*2,2)</f>
        <v>3180</v>
      </c>
      <c r="Y28" s="33">
        <f t="shared" si="12"/>
        <v>3370.8</v>
      </c>
      <c r="Z28" s="42">
        <f>ROUND('[2]Труд_по старости'!AA10*2,2)</f>
        <v>3450.3</v>
      </c>
      <c r="AA28" s="33">
        <f t="shared" si="13"/>
        <v>190.80000000000018</v>
      </c>
      <c r="AB28" s="42">
        <f t="shared" si="14"/>
        <v>270.3000000000002</v>
      </c>
      <c r="AC28" s="42">
        <f>'[2]Труд_по старости'!AD10*2</f>
        <v>3709.08</v>
      </c>
      <c r="AD28" s="42">
        <f t="shared" si="15"/>
        <v>258.77999999999975</v>
      </c>
      <c r="AE28" s="33">
        <f>2*'[2]Труд_по старости'!AF10</f>
        <v>4200</v>
      </c>
      <c r="AF28" s="33">
        <f t="shared" si="16"/>
        <v>490.9200000000001</v>
      </c>
      <c r="AG28" s="42">
        <f t="shared" si="17"/>
        <v>749.6999999999998</v>
      </c>
      <c r="AH28" s="42">
        <f>ROUND(2*'[2]Труд_по старости'!AI10,2)</f>
        <v>4494</v>
      </c>
      <c r="AI28" s="42">
        <f>2*'[2]Труд_по старости'!AJ10</f>
        <v>4431</v>
      </c>
      <c r="AJ28" s="42">
        <f>ROUND(2*'[2]Труд_по старости'!AK10,2)</f>
        <v>5150</v>
      </c>
      <c r="AK28" s="72">
        <f>2*'[2]Труд_по старости'!AL10</f>
        <v>5080</v>
      </c>
      <c r="AL28" s="42">
        <f>2*'[2]Труд_по старости'!AQ10</f>
        <v>5359.4</v>
      </c>
      <c r="AM28" s="72">
        <f>2*'[2]Труд_по старости'!AR10</f>
        <v>6040</v>
      </c>
      <c r="AN28" s="116">
        <f>2*'[2]Труд_по старости'!AS10</f>
        <v>5573.14</v>
      </c>
      <c r="AO28" s="96">
        <f t="shared" si="18"/>
        <v>6945.999999999999</v>
      </c>
      <c r="AP28" s="114">
        <f>1376.1</f>
        <v>1376.1</v>
      </c>
      <c r="AQ28" s="96">
        <f t="shared" si="19"/>
        <v>8322.099999999999</v>
      </c>
      <c r="AR28" s="96">
        <f t="shared" si="20"/>
        <v>7248</v>
      </c>
      <c r="AS28" s="114">
        <f t="shared" si="21"/>
        <v>8624.1</v>
      </c>
      <c r="AT28" s="96">
        <f t="shared" si="22"/>
        <v>7852</v>
      </c>
      <c r="AU28" s="96">
        <f t="shared" si="23"/>
        <v>9228.1</v>
      </c>
      <c r="AV28" s="96">
        <f t="shared" si="24"/>
        <v>8456</v>
      </c>
      <c r="AW28" s="114">
        <f t="shared" si="25"/>
        <v>9832.1</v>
      </c>
      <c r="AX28" s="96">
        <f t="shared" si="26"/>
        <v>9060</v>
      </c>
      <c r="AY28" s="96">
        <f t="shared" si="27"/>
        <v>10436.1</v>
      </c>
      <c r="AZ28" s="96">
        <f t="shared" si="28"/>
        <v>9664</v>
      </c>
      <c r="BA28" s="96">
        <f t="shared" si="29"/>
        <v>11040.1</v>
      </c>
      <c r="BB28" s="96">
        <f t="shared" si="30"/>
        <v>10268</v>
      </c>
      <c r="BC28" s="96">
        <f t="shared" si="31"/>
        <v>11644.1</v>
      </c>
      <c r="BD28" s="114">
        <f t="shared" si="32"/>
        <v>10872</v>
      </c>
      <c r="BE28" s="96">
        <f t="shared" si="33"/>
        <v>12248.1</v>
      </c>
      <c r="BF28" s="96">
        <f t="shared" si="34"/>
        <v>12080</v>
      </c>
      <c r="BG28" s="96">
        <f t="shared" si="35"/>
        <v>13456.1</v>
      </c>
      <c r="BH28" s="33">
        <f>ROUND(2*'[2]Труд_по старости'!DE10,2)</f>
        <v>5500.2</v>
      </c>
      <c r="BI28" s="33">
        <f>ROUND(2*'[2]Труд_по старости'!DF10,2)</f>
        <v>6500</v>
      </c>
      <c r="BJ28" s="78">
        <f>2*'[2]Труд_по старости'!BP10</f>
        <v>5200</v>
      </c>
      <c r="BK28" s="33">
        <f t="shared" si="36"/>
        <v>1000</v>
      </c>
      <c r="BL28" s="33">
        <f>2*'[2]Труд_по старости'!BR10</f>
        <v>4840</v>
      </c>
      <c r="BM28" s="38">
        <f t="shared" si="37"/>
        <v>640</v>
      </c>
      <c r="BN28" s="33">
        <f>2*'[2]Труд_по старости'!BT10</f>
        <v>5980</v>
      </c>
      <c r="BO28" s="38">
        <f t="shared" si="38"/>
        <v>780</v>
      </c>
    </row>
    <row r="29" spans="1:67" ht="12.75">
      <c r="A29" s="34" t="s">
        <v>76</v>
      </c>
      <c r="B29" s="34"/>
      <c r="C29" s="42">
        <f>ROUND('[2]Труд_по старости'!B11*2,2)</f>
        <v>1800</v>
      </c>
      <c r="D29" s="42">
        <f>ROUND('[2]Труд_по старости'!C11*2,2)</f>
        <v>1917</v>
      </c>
      <c r="E29" s="42">
        <f>ROUND('[2]Труд_по старости'!D11*2,2)</f>
        <v>2089.54</v>
      </c>
      <c r="F29" s="42">
        <f t="shared" si="40"/>
        <v>125.38000000000011</v>
      </c>
      <c r="G29" s="42">
        <f>ROUND('[2]Труд_по старости'!F11*2,2)</f>
        <v>2214.92</v>
      </c>
      <c r="H29" s="33">
        <f>ROUND('[2]Труд_по старости'!G11*2,2)</f>
        <v>2392.12</v>
      </c>
      <c r="I29" s="42">
        <f t="shared" si="41"/>
        <v>302.5799999999999</v>
      </c>
      <c r="J29" s="42">
        <f>ROUND('[2]Труд_по старости'!I11*2,2)</f>
        <v>2484.04</v>
      </c>
      <c r="K29" s="42">
        <f t="shared" si="42"/>
        <v>91.92000000000007</v>
      </c>
      <c r="L29" s="42">
        <f>ROUND('[2]Труд_по старости'!K11*2,2)</f>
        <v>2640.04</v>
      </c>
      <c r="M29" s="33">
        <f t="shared" si="3"/>
        <v>247.92000000000007</v>
      </c>
      <c r="N29" s="33">
        <f>ROUND('[2]Труд_по старости'!M11*2,2)</f>
        <v>3600.06</v>
      </c>
      <c r="O29" s="33">
        <f t="shared" si="4"/>
        <v>960.02</v>
      </c>
      <c r="P29" s="72">
        <f>ROUND('[2]Труд_по старости'!O11*2,2)</f>
        <v>3600</v>
      </c>
      <c r="Q29" s="46">
        <f t="shared" si="43"/>
        <v>959.96</v>
      </c>
      <c r="R29" s="51">
        <f t="shared" si="6"/>
        <v>4140</v>
      </c>
      <c r="S29" s="46">
        <f t="shared" si="7"/>
        <v>4968</v>
      </c>
      <c r="T29" s="46">
        <f t="shared" si="8"/>
        <v>7200</v>
      </c>
      <c r="U29" s="8">
        <f t="shared" si="9"/>
        <v>1325</v>
      </c>
      <c r="V29" s="33">
        <f t="shared" si="10"/>
        <v>1920</v>
      </c>
      <c r="W29">
        <f t="shared" si="11"/>
        <v>1325</v>
      </c>
      <c r="X29" s="38">
        <f>ROUND('[2]Труд_по старости'!X11*2,2)</f>
        <v>3816</v>
      </c>
      <c r="Y29" s="33">
        <f t="shared" si="12"/>
        <v>4044.96</v>
      </c>
      <c r="Z29" s="42">
        <f>ROUND('[2]Труд_по старости'!AA11*2,2)</f>
        <v>4140.36</v>
      </c>
      <c r="AA29" s="33">
        <f t="shared" si="13"/>
        <v>228.96000000000004</v>
      </c>
      <c r="AB29" s="42">
        <f t="shared" si="14"/>
        <v>324.3599999999997</v>
      </c>
      <c r="AC29" s="42">
        <f>'[2]Труд_по старости'!AD11*2</f>
        <v>4450.88</v>
      </c>
      <c r="AD29" s="42">
        <f t="shared" si="15"/>
        <v>310.52000000000044</v>
      </c>
      <c r="AE29" s="33">
        <f>2*'[2]Труд_по старости'!AF11</f>
        <v>5040</v>
      </c>
      <c r="AF29" s="33">
        <f t="shared" si="16"/>
        <v>589.1199999999999</v>
      </c>
      <c r="AG29" s="42">
        <f t="shared" si="17"/>
        <v>899.6400000000003</v>
      </c>
      <c r="AH29" s="42">
        <f>ROUND(2*'[2]Труд_по старости'!AI11,2)</f>
        <v>5392.8</v>
      </c>
      <c r="AI29" s="42">
        <f>2*'[2]Труд_по старости'!AJ11</f>
        <v>5317.2</v>
      </c>
      <c r="AJ29" s="42">
        <f>ROUND(2*'[2]Труд_по старости'!AK11,2)</f>
        <v>6180</v>
      </c>
      <c r="AK29" s="72">
        <f>2*'[2]Труд_по старости'!AL11</f>
        <v>6096</v>
      </c>
      <c r="AL29" s="42">
        <f>2*'[2]Труд_по старости'!AQ11</f>
        <v>6431.28</v>
      </c>
      <c r="AM29" s="72">
        <f>2*'[2]Труд_по старости'!AR11</f>
        <v>7248</v>
      </c>
      <c r="AN29" s="116">
        <f>2*'[2]Труд_по старости'!AS11</f>
        <v>6687.76</v>
      </c>
      <c r="AO29" s="96">
        <f t="shared" si="18"/>
        <v>8335.199999999999</v>
      </c>
      <c r="AP29" s="114">
        <f>1376.1</f>
        <v>1376.1</v>
      </c>
      <c r="AQ29" s="96">
        <f t="shared" si="19"/>
        <v>9711.3</v>
      </c>
      <c r="AR29" s="96">
        <f t="shared" si="20"/>
        <v>8697.6</v>
      </c>
      <c r="AS29" s="114">
        <f t="shared" si="21"/>
        <v>10073.7</v>
      </c>
      <c r="AT29" s="96">
        <f t="shared" si="22"/>
        <v>9422.4</v>
      </c>
      <c r="AU29" s="96">
        <f t="shared" si="23"/>
        <v>10798.5</v>
      </c>
      <c r="AV29" s="96">
        <f t="shared" si="24"/>
        <v>10147.199999999999</v>
      </c>
      <c r="AW29" s="114">
        <f t="shared" si="25"/>
        <v>11523.3</v>
      </c>
      <c r="AX29" s="96">
        <f t="shared" si="26"/>
        <v>10872</v>
      </c>
      <c r="AY29" s="96">
        <f t="shared" si="27"/>
        <v>12248.1</v>
      </c>
      <c r="AZ29" s="96">
        <f t="shared" si="28"/>
        <v>11596.800000000001</v>
      </c>
      <c r="BA29" s="96">
        <f t="shared" si="29"/>
        <v>12972.900000000001</v>
      </c>
      <c r="BB29" s="96">
        <f t="shared" si="30"/>
        <v>12321.6</v>
      </c>
      <c r="BC29" s="96">
        <f t="shared" si="31"/>
        <v>13697.7</v>
      </c>
      <c r="BD29" s="114">
        <f t="shared" si="32"/>
        <v>13046.4</v>
      </c>
      <c r="BE29" s="96">
        <f t="shared" si="33"/>
        <v>14422.5</v>
      </c>
      <c r="BF29" s="96">
        <f t="shared" si="34"/>
        <v>14496</v>
      </c>
      <c r="BG29" s="96">
        <f t="shared" si="35"/>
        <v>15872.1</v>
      </c>
      <c r="BH29" s="33">
        <f>ROUND(2*'[2]Труд_по старости'!DE11,2)</f>
        <v>6600.24</v>
      </c>
      <c r="BI29" s="33">
        <f>ROUND(2*'[2]Труд_по старости'!DF11,2)</f>
        <v>7800</v>
      </c>
      <c r="BJ29" s="78">
        <f>2*'[2]Труд_по старости'!BP11</f>
        <v>6240</v>
      </c>
      <c r="BK29" s="33">
        <f t="shared" si="36"/>
        <v>1200</v>
      </c>
      <c r="BL29" s="33">
        <f>2*'[2]Труд_по старости'!BR11</f>
        <v>5808</v>
      </c>
      <c r="BM29" s="38">
        <f t="shared" si="37"/>
        <v>768</v>
      </c>
      <c r="BN29" s="33">
        <f>2*'[2]Труд_по старости'!BT11</f>
        <v>7176</v>
      </c>
      <c r="BO29" s="38">
        <f t="shared" si="38"/>
        <v>936</v>
      </c>
    </row>
    <row r="30" spans="1:67" ht="35.25">
      <c r="A30" s="117" t="s">
        <v>109</v>
      </c>
      <c r="B30" s="32" t="s">
        <v>107</v>
      </c>
      <c r="C30" s="42">
        <f>ROUND('[2]Труд_по старости'!B8*1.5,2)</f>
        <v>675</v>
      </c>
      <c r="D30" s="42">
        <f>ROUND('[2]Труд_по старости'!C8*1.5,2)</f>
        <v>718.88</v>
      </c>
      <c r="E30" s="42">
        <f>ROUND('[2]Труд_по старости'!D8*1.5,2)</f>
        <v>783.57</v>
      </c>
      <c r="F30" s="42">
        <f t="shared" si="40"/>
        <v>47.00999999999999</v>
      </c>
      <c r="G30" s="42">
        <f>ROUND('[2]Труд_по старости'!F8*1.5,2)</f>
        <v>830.58</v>
      </c>
      <c r="H30" s="33">
        <f>ROUND(598.02*1.5,2)</f>
        <v>897.03</v>
      </c>
      <c r="I30" s="42">
        <f t="shared" si="41"/>
        <v>113.45999999999992</v>
      </c>
      <c r="J30" s="42">
        <f>ROUND(621*1.5,2)</f>
        <v>931.5</v>
      </c>
      <c r="K30" s="42">
        <f t="shared" si="42"/>
        <v>34.47000000000003</v>
      </c>
      <c r="L30" s="75">
        <f>ROUND(660*1.5,2)</f>
        <v>990</v>
      </c>
      <c r="M30" s="45">
        <f t="shared" si="3"/>
        <v>92.97000000000003</v>
      </c>
      <c r="N30" s="45">
        <f>ROUND(900*1.5,2)</f>
        <v>1350</v>
      </c>
      <c r="O30" s="45">
        <f t="shared" si="4"/>
        <v>360</v>
      </c>
      <c r="P30" s="115">
        <f>ROUND('[2]Труд_по старости'!O8*1.5,2)</f>
        <v>1350</v>
      </c>
      <c r="Q30" s="48">
        <f t="shared" si="43"/>
        <v>360</v>
      </c>
      <c r="R30" s="47">
        <f t="shared" si="6"/>
        <v>1552.5</v>
      </c>
      <c r="S30" s="48">
        <f t="shared" si="7"/>
        <v>1863</v>
      </c>
      <c r="T30" s="48">
        <f t="shared" si="8"/>
        <v>2700</v>
      </c>
      <c r="U30" s="11">
        <f t="shared" si="9"/>
        <v>497</v>
      </c>
      <c r="V30" s="49">
        <f t="shared" si="10"/>
        <v>720</v>
      </c>
      <c r="W30">
        <f t="shared" si="11"/>
        <v>497</v>
      </c>
      <c r="X30" s="38">
        <f>ROUND('[2]Труд_по старости'!X8*1.5,2)</f>
        <v>1431</v>
      </c>
      <c r="Y30" s="33">
        <f t="shared" si="12"/>
        <v>1516.8600000000001</v>
      </c>
      <c r="Z30" s="42">
        <f>ROUND('[2]Труд_по старости'!AA8*1.5,2)</f>
        <v>1552.64</v>
      </c>
      <c r="AA30" s="33">
        <f t="shared" si="13"/>
        <v>85.86000000000013</v>
      </c>
      <c r="AB30" s="42">
        <f t="shared" si="14"/>
        <v>121.6400000000001</v>
      </c>
      <c r="AC30" s="33">
        <f>'[2]Труд_по старости'!AD8*1.5</f>
        <v>1669.08</v>
      </c>
      <c r="AD30" s="42">
        <f t="shared" si="15"/>
        <v>116.43999999999983</v>
      </c>
      <c r="AE30" s="33">
        <f>1.5*'[2]Труд_по старости'!AF8</f>
        <v>1890</v>
      </c>
      <c r="AF30" s="33">
        <f t="shared" si="16"/>
        <v>220.92000000000007</v>
      </c>
      <c r="AG30" s="42">
        <f t="shared" si="17"/>
        <v>337.3599999999999</v>
      </c>
      <c r="AH30" s="42">
        <f>ROUND(1.5*'[2]Труд_по старости'!AI8,2)</f>
        <v>2022.3</v>
      </c>
      <c r="AI30" s="33">
        <f>1.5*'[2]Труд_по старости'!AJ8</f>
        <v>1993.9499999999998</v>
      </c>
      <c r="AJ30" s="33">
        <f>ROUND('[2]Труд_по старости'!AK8*1.5,2)</f>
        <v>2317.5</v>
      </c>
      <c r="AK30" s="33">
        <f>1.5*'[2]Труд_по старости'!AL8</f>
        <v>2286</v>
      </c>
      <c r="AL30" s="33">
        <f>1.5*'[2]Труд_по старости'!AQ8</f>
        <v>2411.73</v>
      </c>
      <c r="AM30" s="33">
        <f>1.5*'[2]Труд_по старости'!AR8</f>
        <v>2718</v>
      </c>
      <c r="AN30" s="78">
        <f>1.5*'[2]Труд_по старости'!AS8</f>
        <v>2507.91</v>
      </c>
      <c r="AO30" s="96">
        <f t="shared" si="18"/>
        <v>3125.7</v>
      </c>
      <c r="AP30" s="114">
        <v>1100.88</v>
      </c>
      <c r="AQ30" s="96">
        <f t="shared" si="19"/>
        <v>4226.58</v>
      </c>
      <c r="AR30" s="96">
        <f t="shared" si="20"/>
        <v>3261.6</v>
      </c>
      <c r="AS30" s="114">
        <f t="shared" si="21"/>
        <v>4362.48</v>
      </c>
      <c r="AT30" s="96">
        <f t="shared" si="22"/>
        <v>3533.4</v>
      </c>
      <c r="AU30" s="96">
        <f t="shared" si="23"/>
        <v>4634.280000000001</v>
      </c>
      <c r="AV30" s="96">
        <f t="shared" si="24"/>
        <v>3805.2</v>
      </c>
      <c r="AW30" s="114">
        <f t="shared" si="25"/>
        <v>4906.08</v>
      </c>
      <c r="AX30" s="96">
        <f t="shared" si="26"/>
        <v>4077</v>
      </c>
      <c r="AY30" s="96">
        <f t="shared" si="27"/>
        <v>5177.88</v>
      </c>
      <c r="AZ30" s="96">
        <f t="shared" si="28"/>
        <v>4348.8</v>
      </c>
      <c r="BA30" s="96">
        <f t="shared" si="29"/>
        <v>5449.68</v>
      </c>
      <c r="BB30" s="96">
        <f t="shared" si="30"/>
        <v>4620.599999999999</v>
      </c>
      <c r="BC30" s="96">
        <f t="shared" si="31"/>
        <v>5721.48</v>
      </c>
      <c r="BD30" s="114">
        <f t="shared" si="32"/>
        <v>4892.400000000001</v>
      </c>
      <c r="BE30" s="96">
        <f t="shared" si="33"/>
        <v>5993.280000000001</v>
      </c>
      <c r="BF30" s="96">
        <f t="shared" si="34"/>
        <v>5436</v>
      </c>
      <c r="BG30" s="96">
        <f t="shared" si="35"/>
        <v>6536.88</v>
      </c>
      <c r="BH30" s="33">
        <f>ROUND(1.5*'[2]Труд_по старости'!DE8,2)</f>
        <v>2475.09</v>
      </c>
      <c r="BI30" s="33">
        <f>ROUND(1.5*'[2]Труд_по старости'!DF8,2)</f>
        <v>2925</v>
      </c>
      <c r="BJ30" s="78">
        <f>1.5*'[2]Труд_по старости'!BP8</f>
        <v>2340</v>
      </c>
      <c r="BK30" s="33">
        <f t="shared" si="36"/>
        <v>450</v>
      </c>
      <c r="BL30" s="33">
        <f>1.5*'[2]Труд_по старости'!BR8</f>
        <v>2178</v>
      </c>
      <c r="BM30" s="38">
        <f t="shared" si="37"/>
        <v>288</v>
      </c>
      <c r="BN30" s="33">
        <f>1.5*'[2]Труд_по старости'!BT8</f>
        <v>2691</v>
      </c>
      <c r="BO30" s="38">
        <f t="shared" si="38"/>
        <v>351</v>
      </c>
    </row>
    <row r="31" spans="1:67" s="2" customFormat="1" ht="12.75">
      <c r="A31" s="121" t="s">
        <v>92</v>
      </c>
      <c r="B31" s="121" t="s">
        <v>107</v>
      </c>
      <c r="C31" s="122">
        <f>ROUND('[2]Труд_по старости'!B8*1.5,2)</f>
        <v>675</v>
      </c>
      <c r="D31" s="122">
        <f>ROUND('[2]Труд_по старости'!C8*1.5,2)</f>
        <v>718.88</v>
      </c>
      <c r="E31" s="122">
        <f>ROUND('[2]Труд_по старости'!D8*1.5,2)</f>
        <v>783.57</v>
      </c>
      <c r="F31" s="54">
        <f t="shared" si="40"/>
        <v>47.00999999999999</v>
      </c>
      <c r="G31" s="122">
        <f>ROUND('[2]Труд_по старости'!F8*1.5,2)</f>
        <v>830.58</v>
      </c>
      <c r="H31" s="59">
        <f>ROUND(598.02*1.5,2)</f>
        <v>897.03</v>
      </c>
      <c r="I31" s="54">
        <f t="shared" si="41"/>
        <v>113.45999999999992</v>
      </c>
      <c r="J31" s="54">
        <f>ROUND(621*1.5,2)</f>
        <v>931.5</v>
      </c>
      <c r="K31" s="54">
        <f t="shared" si="42"/>
        <v>34.47000000000003</v>
      </c>
      <c r="L31" s="122">
        <f>ROUND(660*1.5,2)</f>
        <v>990</v>
      </c>
      <c r="M31" s="123">
        <f t="shared" si="3"/>
        <v>92.97000000000003</v>
      </c>
      <c r="N31" s="123">
        <f>ROUND(900*1.5,2)</f>
        <v>1350</v>
      </c>
      <c r="O31" s="123">
        <f t="shared" si="4"/>
        <v>360</v>
      </c>
      <c r="P31" s="124">
        <f>ROUND('[2]Труд_по старости'!O8*1.5,2)</f>
        <v>1350</v>
      </c>
      <c r="Q31" s="82">
        <f t="shared" si="43"/>
        <v>360</v>
      </c>
      <c r="R31" s="125">
        <f t="shared" si="6"/>
        <v>1552.5</v>
      </c>
      <c r="S31" s="82">
        <f t="shared" si="7"/>
        <v>1863</v>
      </c>
      <c r="T31" s="82">
        <f t="shared" si="8"/>
        <v>2700</v>
      </c>
      <c r="U31" s="126">
        <f t="shared" si="9"/>
        <v>497</v>
      </c>
      <c r="V31" s="127">
        <f t="shared" si="10"/>
        <v>720</v>
      </c>
      <c r="W31">
        <f t="shared" si="11"/>
        <v>497</v>
      </c>
      <c r="X31" s="128">
        <f>X30</f>
        <v>1431</v>
      </c>
      <c r="Y31" s="59">
        <f t="shared" si="12"/>
        <v>1516.8600000000001</v>
      </c>
      <c r="Z31" s="54">
        <f>Z30</f>
        <v>1552.64</v>
      </c>
      <c r="AA31" s="59">
        <f t="shared" si="13"/>
        <v>85.86000000000013</v>
      </c>
      <c r="AB31" s="54">
        <f t="shared" si="14"/>
        <v>121.6400000000001</v>
      </c>
      <c r="AC31" s="123">
        <f>AC30</f>
        <v>1669.08</v>
      </c>
      <c r="AD31" s="54">
        <f t="shared" si="15"/>
        <v>116.43999999999983</v>
      </c>
      <c r="AE31" s="123">
        <f>AE30</f>
        <v>1890</v>
      </c>
      <c r="AF31" s="123">
        <f t="shared" si="16"/>
        <v>220.92000000000007</v>
      </c>
      <c r="AG31" s="122">
        <f t="shared" si="17"/>
        <v>337.3599999999999</v>
      </c>
      <c r="AH31" s="122">
        <f aca="true" t="shared" si="44" ref="AH31:AN31">AH30</f>
        <v>2022.3</v>
      </c>
      <c r="AI31" s="123">
        <f t="shared" si="44"/>
        <v>1993.9499999999998</v>
      </c>
      <c r="AJ31" s="59">
        <f t="shared" si="44"/>
        <v>2317.5</v>
      </c>
      <c r="AK31" s="123">
        <f t="shared" si="44"/>
        <v>2286</v>
      </c>
      <c r="AL31" s="123">
        <f t="shared" si="44"/>
        <v>2411.73</v>
      </c>
      <c r="AM31" s="123">
        <f t="shared" si="44"/>
        <v>2718</v>
      </c>
      <c r="AN31" s="129">
        <f t="shared" si="44"/>
        <v>2507.91</v>
      </c>
      <c r="AO31" s="96">
        <f t="shared" si="18"/>
        <v>3125.7</v>
      </c>
      <c r="AP31" s="93"/>
      <c r="AQ31" s="96">
        <f t="shared" si="19"/>
        <v>3125.7</v>
      </c>
      <c r="AR31" s="96">
        <f t="shared" si="20"/>
        <v>3261.6</v>
      </c>
      <c r="AS31" s="114">
        <f t="shared" si="21"/>
        <v>3261.6</v>
      </c>
      <c r="AT31" s="96">
        <f t="shared" si="22"/>
        <v>3533.4</v>
      </c>
      <c r="AU31" s="96">
        <f t="shared" si="23"/>
        <v>3533.4</v>
      </c>
      <c r="AV31" s="96">
        <f t="shared" si="24"/>
        <v>3805.2</v>
      </c>
      <c r="AW31" s="114">
        <f t="shared" si="25"/>
        <v>3805.2</v>
      </c>
      <c r="AX31" s="96">
        <f t="shared" si="26"/>
        <v>4077</v>
      </c>
      <c r="AY31" s="96">
        <f t="shared" si="27"/>
        <v>4077</v>
      </c>
      <c r="AZ31" s="96">
        <f t="shared" si="28"/>
        <v>4348.8</v>
      </c>
      <c r="BA31" s="96">
        <f t="shared" si="29"/>
        <v>4348.8</v>
      </c>
      <c r="BB31" s="96">
        <f t="shared" si="30"/>
        <v>4620.599999999999</v>
      </c>
      <c r="BC31" s="96">
        <f t="shared" si="31"/>
        <v>4620.599999999999</v>
      </c>
      <c r="BD31" s="114">
        <f t="shared" si="32"/>
        <v>4892.400000000001</v>
      </c>
      <c r="BE31" s="96">
        <f t="shared" si="33"/>
        <v>4892.400000000001</v>
      </c>
      <c r="BF31" s="96">
        <f t="shared" si="34"/>
        <v>5436</v>
      </c>
      <c r="BG31" s="96">
        <f t="shared" si="35"/>
        <v>5436</v>
      </c>
      <c r="BH31" s="123">
        <f>BH30</f>
        <v>2475.09</v>
      </c>
      <c r="BI31" s="123">
        <f>BI30</f>
        <v>2925</v>
      </c>
      <c r="BJ31" s="129">
        <f>1.5*'[2]Труд_по старости'!BP8</f>
        <v>2340</v>
      </c>
      <c r="BK31" s="59">
        <f t="shared" si="36"/>
        <v>450</v>
      </c>
      <c r="BL31" s="123">
        <f>BL30</f>
        <v>2178</v>
      </c>
      <c r="BM31" s="60">
        <f t="shared" si="37"/>
        <v>288</v>
      </c>
      <c r="BN31" s="123">
        <f>BN30</f>
        <v>2691</v>
      </c>
      <c r="BO31" s="60">
        <f t="shared" si="38"/>
        <v>351</v>
      </c>
    </row>
    <row r="32" spans="3:59" ht="12.75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</row>
    <row r="33" spans="1:9" ht="24.75" customHeight="1" hidden="1">
      <c r="A33" s="157" t="s">
        <v>108</v>
      </c>
      <c r="B33" s="157"/>
      <c r="C33" s="157"/>
      <c r="D33" s="157"/>
      <c r="E33" s="157"/>
      <c r="F33" s="157"/>
      <c r="G33" s="157"/>
      <c r="H33" s="157"/>
      <c r="I33" s="157"/>
    </row>
    <row r="34" spans="1:9" ht="12.75" hidden="1">
      <c r="A34" s="158"/>
      <c r="B34" s="158"/>
      <c r="C34" s="158"/>
      <c r="D34" s="158"/>
      <c r="E34" s="158"/>
      <c r="F34" s="158"/>
      <c r="G34" s="158"/>
      <c r="H34" s="158"/>
      <c r="I34" s="158"/>
    </row>
    <row r="35" spans="1:9" ht="12.75" hidden="1">
      <c r="A35" s="158"/>
      <c r="B35" s="158"/>
      <c r="C35" s="158"/>
      <c r="D35" s="158"/>
      <c r="E35" s="158"/>
      <c r="F35" s="158"/>
      <c r="G35" s="158"/>
      <c r="H35" s="158"/>
      <c r="I35" s="158"/>
    </row>
  </sheetData>
  <mergeCells count="4">
    <mergeCell ref="A6:K6"/>
    <mergeCell ref="A19:K19"/>
    <mergeCell ref="A1:T1"/>
    <mergeCell ref="A33:I35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90" r:id="rId1"/>
  <headerFooter alignWithMargins="0">
    <oddFooter>&amp;L&amp;8&amp;F&amp;R&amp;8&amp;D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I32"/>
  <sheetViews>
    <sheetView showZeros="0" workbookViewId="0" topLeftCell="A1">
      <selection activeCell="AD39" sqref="AD39"/>
    </sheetView>
  </sheetViews>
  <sheetFormatPr defaultColWidth="9.00390625" defaultRowHeight="12.75"/>
  <cols>
    <col min="1" max="1" width="29.25390625" style="0" customWidth="1"/>
    <col min="2" max="2" width="20.25390625" style="0" customWidth="1"/>
    <col min="3" max="3" width="9.25390625" style="0" hidden="1" customWidth="1"/>
    <col min="4" max="9" width="9.125" style="0" hidden="1" customWidth="1"/>
    <col min="10" max="11" width="10.125" style="0" hidden="1" customWidth="1"/>
    <col min="12" max="12" width="11.125" style="0" hidden="1" customWidth="1"/>
    <col min="13" max="13" width="9.125" style="0" hidden="1" customWidth="1"/>
    <col min="14" max="14" width="11.25390625" style="0" hidden="1" customWidth="1"/>
    <col min="15" max="15" width="9.125" style="0" hidden="1" customWidth="1"/>
    <col min="16" max="16" width="12.25390625" style="0" hidden="1" customWidth="1"/>
    <col min="17" max="18" width="9.125" style="0" hidden="1" customWidth="1"/>
    <col min="19" max="19" width="12.25390625" style="0" hidden="1" customWidth="1"/>
    <col min="20" max="20" width="9.125" style="0" hidden="1" customWidth="1"/>
    <col min="21" max="21" width="11.125" style="0" hidden="1" customWidth="1"/>
    <col min="22" max="22" width="9.125" style="0" hidden="1" customWidth="1"/>
    <col min="23" max="23" width="11.75390625" style="0" hidden="1" customWidth="1"/>
    <col min="24" max="24" width="10.625" style="0" hidden="1" customWidth="1"/>
    <col min="25" max="25" width="11.00390625" style="0" hidden="1" customWidth="1"/>
    <col min="26" max="27" width="9.125" style="0" hidden="1" customWidth="1"/>
    <col min="28" max="28" width="11.00390625" style="0" hidden="1" customWidth="1"/>
    <col min="29" max="29" width="13.625" style="0" hidden="1" customWidth="1"/>
    <col min="30" max="30" width="11.00390625" style="0" customWidth="1"/>
    <col min="31" max="31" width="12.625" style="0" hidden="1" customWidth="1"/>
    <col min="32" max="33" width="12.125" style="0" hidden="1" customWidth="1"/>
    <col min="34" max="34" width="9.125" style="0" hidden="1" customWidth="1"/>
    <col min="35" max="35" width="0" style="0" hidden="1" customWidth="1"/>
    <col min="36" max="37" width="10.875" style="0" hidden="1" customWidth="1"/>
    <col min="38" max="38" width="10.00390625" style="0" hidden="1" customWidth="1"/>
    <col min="39" max="42" width="9.125" style="0" hidden="1" customWidth="1"/>
    <col min="43" max="44" width="8.375" style="0" hidden="1" customWidth="1"/>
    <col min="45" max="45" width="8.125" style="0" hidden="1" customWidth="1"/>
    <col min="46" max="46" width="8.25390625" style="0" hidden="1" customWidth="1"/>
    <col min="47" max="47" width="8.625" style="0" hidden="1" customWidth="1"/>
    <col min="48" max="48" width="7.625" style="0" hidden="1" customWidth="1"/>
    <col min="49" max="49" width="8.25390625" style="0" hidden="1" customWidth="1"/>
    <col min="50" max="50" width="8.00390625" style="0" hidden="1" customWidth="1"/>
    <col min="51" max="51" width="8.75390625" style="0" hidden="1" customWidth="1"/>
    <col min="52" max="53" width="8.125" style="0" hidden="1" customWidth="1"/>
    <col min="54" max="54" width="8.00390625" style="0" hidden="1" customWidth="1"/>
    <col min="55" max="55" width="8.125" style="0" hidden="1" customWidth="1"/>
    <col min="56" max="57" width="8.00390625" style="0" hidden="1" customWidth="1"/>
    <col min="58" max="58" width="8.75390625" style="0" hidden="1" customWidth="1"/>
    <col min="59" max="59" width="8.25390625" style="0" hidden="1" customWidth="1"/>
    <col min="60" max="60" width="8.125" style="0" hidden="1" customWidth="1"/>
    <col min="61" max="61" width="8.875" style="0" hidden="1" customWidth="1"/>
    <col min="62" max="107" width="9.125" style="0" hidden="1" customWidth="1"/>
    <col min="108" max="108" width="11.125" style="0" customWidth="1"/>
    <col min="109" max="109" width="12.625" style="0" customWidth="1"/>
    <col min="110" max="110" width="0" style="0" hidden="1" customWidth="1"/>
    <col min="111" max="111" width="13.125" style="0" hidden="1" customWidth="1"/>
    <col min="112" max="112" width="10.625" style="0" hidden="1" customWidth="1"/>
    <col min="113" max="113" width="12.375" style="0" hidden="1" customWidth="1"/>
  </cols>
  <sheetData>
    <row r="1" spans="1:109" s="1" customFormat="1" ht="33.75" customHeight="1">
      <c r="A1" s="164" t="s">
        <v>110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</row>
    <row r="2" ht="6.75" customHeight="1"/>
    <row r="3" spans="9:110" ht="12.75">
      <c r="I3" s="4"/>
      <c r="K3" s="4" t="s">
        <v>6</v>
      </c>
      <c r="P3" s="5"/>
      <c r="Q3" s="5"/>
      <c r="R3" s="5"/>
      <c r="S3" s="6" t="s">
        <v>7</v>
      </c>
      <c r="T3" s="5"/>
      <c r="U3" t="s">
        <v>8</v>
      </c>
      <c r="X3" s="7" t="s">
        <v>9</v>
      </c>
      <c r="Y3" s="8"/>
      <c r="Z3" t="s">
        <v>10</v>
      </c>
      <c r="AG3" t="s">
        <v>11</v>
      </c>
      <c r="AI3" t="s">
        <v>11</v>
      </c>
      <c r="DF3" t="s">
        <v>12</v>
      </c>
    </row>
    <row r="4" spans="1:113" s="11" customFormat="1" ht="44.25" customHeight="1">
      <c r="A4" s="9" t="s">
        <v>16</v>
      </c>
      <c r="B4" s="130" t="s">
        <v>98</v>
      </c>
      <c r="C4" s="130" t="s">
        <v>17</v>
      </c>
      <c r="D4" s="130" t="s">
        <v>18</v>
      </c>
      <c r="E4" s="130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25</v>
      </c>
      <c r="L4" s="9" t="s">
        <v>26</v>
      </c>
      <c r="M4" s="9" t="s">
        <v>25</v>
      </c>
      <c r="N4" s="9" t="s">
        <v>99</v>
      </c>
      <c r="O4" s="9" t="s">
        <v>81</v>
      </c>
      <c r="P4" s="9" t="s">
        <v>82</v>
      </c>
      <c r="Q4" s="10" t="s">
        <v>28</v>
      </c>
      <c r="R4" s="10" t="s">
        <v>30</v>
      </c>
      <c r="S4" s="10" t="s">
        <v>31</v>
      </c>
      <c r="T4" s="10" t="s">
        <v>32</v>
      </c>
      <c r="U4" s="10" t="s">
        <v>31</v>
      </c>
      <c r="V4" s="10" t="s">
        <v>32</v>
      </c>
      <c r="W4" s="9" t="s">
        <v>33</v>
      </c>
      <c r="X4" s="9" t="s">
        <v>35</v>
      </c>
      <c r="Y4" s="9" t="s">
        <v>35</v>
      </c>
      <c r="Z4" s="9" t="s">
        <v>36</v>
      </c>
      <c r="AA4" s="9" t="s">
        <v>37</v>
      </c>
      <c r="AB4" s="9" t="s">
        <v>38</v>
      </c>
      <c r="AC4" s="9" t="s">
        <v>86</v>
      </c>
      <c r="AD4" s="9" t="s">
        <v>40</v>
      </c>
      <c r="AE4" s="9" t="s">
        <v>87</v>
      </c>
      <c r="AF4" s="9" t="s">
        <v>88</v>
      </c>
      <c r="AG4" s="9" t="s">
        <v>43</v>
      </c>
      <c r="AH4" s="9" t="s">
        <v>43</v>
      </c>
      <c r="AI4" s="9" t="s">
        <v>44</v>
      </c>
      <c r="AJ4" s="9" t="s">
        <v>111</v>
      </c>
      <c r="AK4" s="9" t="s">
        <v>46</v>
      </c>
      <c r="AL4" s="9" t="s">
        <v>47</v>
      </c>
      <c r="AM4" s="9" t="s">
        <v>44</v>
      </c>
      <c r="AN4" s="9" t="s">
        <v>45</v>
      </c>
      <c r="AO4" s="9" t="s">
        <v>48</v>
      </c>
      <c r="AP4" s="9" t="s">
        <v>49</v>
      </c>
      <c r="AQ4" s="63" t="s">
        <v>53</v>
      </c>
      <c r="AR4" s="12" t="s">
        <v>100</v>
      </c>
      <c r="AS4" s="63" t="s">
        <v>55</v>
      </c>
      <c r="AT4" s="63" t="s">
        <v>56</v>
      </c>
      <c r="AU4" s="63" t="s">
        <v>55</v>
      </c>
      <c r="AV4" s="63" t="s">
        <v>57</v>
      </c>
      <c r="AW4" s="63" t="s">
        <v>55</v>
      </c>
      <c r="AX4" s="63" t="s">
        <v>58</v>
      </c>
      <c r="AY4" s="63" t="s">
        <v>55</v>
      </c>
      <c r="AZ4" s="63" t="s">
        <v>59</v>
      </c>
      <c r="BA4" s="63" t="s">
        <v>55</v>
      </c>
      <c r="BB4" s="63" t="s">
        <v>60</v>
      </c>
      <c r="BC4" s="63" t="s">
        <v>55</v>
      </c>
      <c r="BD4" s="63" t="s">
        <v>61</v>
      </c>
      <c r="BE4" s="63" t="s">
        <v>55</v>
      </c>
      <c r="BF4" s="63" t="s">
        <v>62</v>
      </c>
      <c r="BG4" s="63" t="s">
        <v>55</v>
      </c>
      <c r="BH4" s="63" t="s">
        <v>63</v>
      </c>
      <c r="BI4" s="63" t="s">
        <v>55</v>
      </c>
      <c r="DB4" s="9" t="s">
        <v>45</v>
      </c>
      <c r="DC4" s="9" t="s">
        <v>48</v>
      </c>
      <c r="DD4" s="9" t="s">
        <v>64</v>
      </c>
      <c r="DE4" s="12" t="s">
        <v>65</v>
      </c>
      <c r="DF4" s="9" t="s">
        <v>66</v>
      </c>
      <c r="DG4" s="12" t="s">
        <v>67</v>
      </c>
      <c r="DH4" s="9" t="s">
        <v>68</v>
      </c>
      <c r="DI4" s="12" t="s">
        <v>69</v>
      </c>
    </row>
    <row r="5" spans="1:113" s="71" customFormat="1" ht="15" customHeight="1">
      <c r="A5" s="131" t="s">
        <v>70</v>
      </c>
      <c r="B5" s="131"/>
      <c r="C5" s="131"/>
      <c r="D5" s="107">
        <v>1.065</v>
      </c>
      <c r="E5" s="107">
        <v>1.09</v>
      </c>
      <c r="F5" s="18">
        <v>1.161</v>
      </c>
      <c r="G5" s="21">
        <v>1.06</v>
      </c>
      <c r="H5" s="17">
        <v>1.08</v>
      </c>
      <c r="I5" s="18">
        <v>1.145</v>
      </c>
      <c r="J5" s="19">
        <v>1.0384268</v>
      </c>
      <c r="K5" s="19">
        <f>J5</f>
        <v>1.0384268</v>
      </c>
      <c r="L5" s="66">
        <f>1.06280193</f>
        <v>1.06280193</v>
      </c>
      <c r="M5" s="17">
        <f>'[2]Гос_обесп(военнослуж) '!M5</f>
        <v>1.1036</v>
      </c>
      <c r="N5" s="66">
        <f>'[2]Гос_обесп(военнослуж) '!N5</f>
        <v>1.36363636</v>
      </c>
      <c r="O5" s="17"/>
      <c r="P5" s="17">
        <v>1.36363636</v>
      </c>
      <c r="Q5" s="26"/>
      <c r="R5" s="26"/>
      <c r="S5" s="26"/>
      <c r="T5" s="26"/>
      <c r="U5" s="132"/>
      <c r="V5" s="17"/>
      <c r="W5" s="17">
        <v>1.06</v>
      </c>
      <c r="X5" s="17">
        <v>1.06</v>
      </c>
      <c r="Y5" s="17">
        <v>1.085</v>
      </c>
      <c r="Z5" s="133"/>
      <c r="AA5" s="133"/>
      <c r="AB5" s="26">
        <v>1.075</v>
      </c>
      <c r="AC5" s="16"/>
      <c r="AD5" s="20">
        <f>1260/1112.72</f>
        <v>1.132360342224459</v>
      </c>
      <c r="AE5" s="27"/>
      <c r="AF5" s="112"/>
      <c r="AG5" s="26">
        <v>1.07</v>
      </c>
      <c r="AH5" s="17">
        <v>1.055</v>
      </c>
      <c r="AI5" s="17">
        <f>'[2]Гос_обесп(военнослуж) '!AJ5</f>
        <v>1.1459724076546507</v>
      </c>
      <c r="AJ5" s="17"/>
      <c r="AK5" s="17"/>
      <c r="AL5" s="17"/>
      <c r="AM5" s="17">
        <v>1.1464680658993456</v>
      </c>
      <c r="AN5" s="17">
        <v>1.055</v>
      </c>
      <c r="AO5" s="17">
        <v>1.1269918274433706</v>
      </c>
      <c r="AP5" s="17">
        <v>1.0970734908136481</v>
      </c>
      <c r="DB5" s="99">
        <v>1.068</v>
      </c>
      <c r="DC5" s="63">
        <f>'[2]Гос_обесп(военнослуж) '!BI5</f>
        <v>1.18177521</v>
      </c>
      <c r="DD5" s="26">
        <f>1560/1260</f>
        <v>1.2380952380952381</v>
      </c>
      <c r="DE5" s="27"/>
      <c r="DF5" s="26">
        <f>1452/1260</f>
        <v>1.1523809523809523</v>
      </c>
      <c r="DG5" s="27"/>
      <c r="DH5" s="17">
        <f>1794/1560</f>
        <v>1.15</v>
      </c>
      <c r="DI5" s="27"/>
    </row>
    <row r="6" spans="1:113" ht="23.25" customHeight="1">
      <c r="A6" s="166" t="s">
        <v>112</v>
      </c>
      <c r="B6" s="167"/>
      <c r="C6" s="167"/>
      <c r="D6" s="167"/>
      <c r="E6" s="167"/>
      <c r="F6" s="167"/>
      <c r="G6" s="167"/>
      <c r="H6" s="167"/>
      <c r="I6" s="167"/>
      <c r="J6" s="167"/>
      <c r="K6" s="168"/>
      <c r="L6" s="34"/>
      <c r="M6" s="34"/>
      <c r="N6" s="34"/>
      <c r="O6" s="34"/>
      <c r="P6" s="34"/>
      <c r="Q6" s="35"/>
      <c r="R6" s="35"/>
      <c r="S6" s="35"/>
      <c r="T6" s="35"/>
      <c r="V6" s="34"/>
      <c r="W6" s="33"/>
      <c r="X6" s="34"/>
      <c r="Y6" s="34"/>
      <c r="Z6" s="34"/>
      <c r="AA6" s="34"/>
      <c r="AB6" s="37"/>
      <c r="AC6" s="37"/>
      <c r="AD6" s="37"/>
      <c r="AE6" s="37"/>
      <c r="AF6" s="37"/>
      <c r="AG6" s="37"/>
      <c r="AH6" s="37"/>
      <c r="AI6" s="34"/>
      <c r="AJ6" s="34"/>
      <c r="AK6" s="34"/>
      <c r="AL6" s="34"/>
      <c r="AM6" s="34"/>
      <c r="AN6" s="34"/>
      <c r="AO6" s="34"/>
      <c r="AP6" s="34"/>
      <c r="DB6" s="36"/>
      <c r="DC6" s="37"/>
      <c r="DD6" s="102"/>
      <c r="DE6" s="40"/>
      <c r="DF6" s="40"/>
      <c r="DG6" s="36"/>
      <c r="DH6" s="40"/>
      <c r="DI6" s="41"/>
    </row>
    <row r="7" spans="1:113" ht="12.75">
      <c r="A7" s="134" t="s">
        <v>78</v>
      </c>
      <c r="B7" s="32" t="s">
        <v>103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  <c r="R7" s="35"/>
      <c r="S7" s="35"/>
      <c r="T7" s="35"/>
      <c r="V7" s="34"/>
      <c r="W7" s="33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DB7" s="35"/>
      <c r="DC7" s="34"/>
      <c r="DD7" s="78"/>
      <c r="DE7" s="33"/>
      <c r="DF7" s="33"/>
      <c r="DG7" s="35"/>
      <c r="DH7" s="33"/>
      <c r="DI7" s="38"/>
    </row>
    <row r="8" spans="1:113" ht="12.75">
      <c r="A8" s="34" t="s">
        <v>73</v>
      </c>
      <c r="B8" s="34"/>
      <c r="C8" s="42">
        <f>ROUND('[2]Труд_по старости'!B8*2.5,2)</f>
        <v>1125</v>
      </c>
      <c r="D8" s="42">
        <f>ROUND('[2]Труд_по старости'!C8*2.5,2)</f>
        <v>1198.13</v>
      </c>
      <c r="E8" s="42">
        <f>ROUND('[2]Труд_по старости'!D8*2.5,2)</f>
        <v>1305.95</v>
      </c>
      <c r="F8" s="42">
        <f aca="true" t="shared" si="0" ref="F8:F17">G8-E8</f>
        <v>78.34999999999991</v>
      </c>
      <c r="G8" s="42">
        <f>ROUND('[2]Труд_по старости'!F8*2.5,2)</f>
        <v>1384.3</v>
      </c>
      <c r="H8" s="33">
        <f>ROUND('[2]Труд_по старости'!G8*2.5,2)</f>
        <v>1495.05</v>
      </c>
      <c r="I8" s="42">
        <f aca="true" t="shared" si="1" ref="I8:I17">H8-E8</f>
        <v>189.0999999999999</v>
      </c>
      <c r="J8" s="33">
        <f>ROUND('[2]Труд_по старости'!I8*2.5,2)</f>
        <v>1552.5</v>
      </c>
      <c r="K8" s="34">
        <f aca="true" t="shared" si="2" ref="K8:K17">J8-H8</f>
        <v>57.450000000000045</v>
      </c>
      <c r="L8" s="33">
        <f>ROUND('[2]Труд_по старости'!K8*2.5,2)</f>
        <v>1650</v>
      </c>
      <c r="M8" s="33">
        <f aca="true" t="shared" si="3" ref="M8:M22">L8-H8</f>
        <v>154.95000000000005</v>
      </c>
      <c r="N8" s="33">
        <f>ROUND('[2]Труд_по старости'!M8*2.5,2)</f>
        <v>2250</v>
      </c>
      <c r="O8" s="33">
        <f aca="true" t="shared" si="4" ref="O8:O22">N8-L8</f>
        <v>600</v>
      </c>
      <c r="P8" s="115">
        <f>ROUND('[2]Труд_по старости'!O8*2.5,2)</f>
        <v>2250</v>
      </c>
      <c r="Q8" s="48">
        <f aca="true" t="shared" si="5" ref="Q8:Q22">P8-L8</f>
        <v>600</v>
      </c>
      <c r="R8" s="48">
        <f aca="true" t="shared" si="6" ref="R8:R22">ROUND(P8*1.15,2)</f>
        <v>2587.5</v>
      </c>
      <c r="S8" s="48">
        <f aca="true" t="shared" si="7" ref="S8:S22">ROUND(P8*1.38,2)</f>
        <v>3105</v>
      </c>
      <c r="T8" s="48">
        <f aca="true" t="shared" si="8" ref="T8:T22">ROUND(P8*2,2)</f>
        <v>4500</v>
      </c>
      <c r="U8" s="8">
        <f aca="true" t="shared" si="9" ref="U8:U22">ROUND(Q8*1.38,0)</f>
        <v>828</v>
      </c>
      <c r="V8" s="33">
        <f aca="true" t="shared" si="10" ref="V8:V22">ROUND(Q8*2,0)</f>
        <v>1200</v>
      </c>
      <c r="W8" s="33">
        <f>ROUND('[2]Труд_по старости'!X8*2.5,2)</f>
        <v>2385</v>
      </c>
      <c r="X8" s="33">
        <f aca="true" t="shared" si="11" ref="X8:X18">W8*1.06</f>
        <v>2528.1</v>
      </c>
      <c r="Y8" s="33">
        <f>ROUND('[2]Труд_по старости'!AA8*2.5,2)</f>
        <v>2587.73</v>
      </c>
      <c r="Z8" s="33">
        <f aca="true" t="shared" si="12" ref="Z8:Z22">X8-W8</f>
        <v>143.0999999999999</v>
      </c>
      <c r="AA8" s="33">
        <f aca="true" t="shared" si="13" ref="AA8:AA22">Y8-W8</f>
        <v>202.73000000000002</v>
      </c>
      <c r="AB8" s="42">
        <f>2.5*'[2]Труд_по старости'!AD8</f>
        <v>2781.8</v>
      </c>
      <c r="AC8" s="42">
        <f aca="true" t="shared" si="14" ref="AC8:AC22">AB8-Y8</f>
        <v>194.07000000000016</v>
      </c>
      <c r="AD8" s="33">
        <f>2.5*'[2]Труд_по старости'!AF8</f>
        <v>3150</v>
      </c>
      <c r="AE8" s="42">
        <f aca="true" t="shared" si="15" ref="AE8:AE22">AD8-AB8</f>
        <v>368.1999999999998</v>
      </c>
      <c r="AF8" s="33">
        <f aca="true" t="shared" si="16" ref="AF8:AF22">AD8-Y8</f>
        <v>562.27</v>
      </c>
      <c r="AG8" s="42">
        <f>ROUND(2.5*'[2]Труд_по старости'!AI8,2)</f>
        <v>3370.5</v>
      </c>
      <c r="AH8" s="42">
        <f>2.5*'[2]Труд_по старости'!AJ8</f>
        <v>3323.25</v>
      </c>
      <c r="AI8" s="42">
        <f>ROUND(2.5*'[2]Труд_по старости'!AK8,2)</f>
        <v>3862.5</v>
      </c>
      <c r="AJ8" s="42">
        <f>ROUND(2.5*'[2]Труд_по старости'!AM8,2)</f>
        <v>4125.15</v>
      </c>
      <c r="AK8" s="42">
        <f>2.5*'[2]Труд_по старости'!AN8</f>
        <v>4875</v>
      </c>
      <c r="AL8" s="42">
        <f>ROUND(2.5*'[2]Труд_по старости'!AO8,2)</f>
        <v>5191.88</v>
      </c>
      <c r="AM8" s="33">
        <f>2.5*'[2]Труд_по старости'!AL8</f>
        <v>3810</v>
      </c>
      <c r="AN8" s="42">
        <f>2.5*'[2]Труд_по старости'!AQ8</f>
        <v>4019.5499999999997</v>
      </c>
      <c r="AO8" s="33">
        <f>2.5*'[2]Труд_по старости'!AR8</f>
        <v>4530</v>
      </c>
      <c r="AP8" s="42">
        <f>2.5*'[2]Труд_по старости'!AS8</f>
        <v>4179.85</v>
      </c>
      <c r="AQ8" s="8">
        <f aca="true" t="shared" si="17" ref="AQ8:AQ28">1.15*AO8</f>
        <v>5209.5</v>
      </c>
      <c r="AR8">
        <f>1926.53+1000</f>
        <v>2926.5299999999997</v>
      </c>
      <c r="AS8">
        <f aca="true" t="shared" si="18" ref="AS8:AS28">AQ8+AR8</f>
        <v>8136.03</v>
      </c>
      <c r="AT8" s="8">
        <f aca="true" t="shared" si="19" ref="AT8:AT29">1.2*AO8</f>
        <v>5436</v>
      </c>
      <c r="AU8" s="8">
        <f aca="true" t="shared" si="20" ref="AU8:AU29">AT8+AR8</f>
        <v>8362.529999999999</v>
      </c>
      <c r="AV8" s="8">
        <f aca="true" t="shared" si="21" ref="AV8:AV29">1.3*AO8</f>
        <v>5889</v>
      </c>
      <c r="AW8" s="8">
        <f aca="true" t="shared" si="22" ref="AW8:AW29">AV8+AR8</f>
        <v>8815.529999999999</v>
      </c>
      <c r="AX8" s="8">
        <f aca="true" t="shared" si="23" ref="AX8:AX29">1.4*AO8</f>
        <v>6342</v>
      </c>
      <c r="AY8" s="8">
        <f aca="true" t="shared" si="24" ref="AY8:AY28">AX8+AR8</f>
        <v>9268.529999999999</v>
      </c>
      <c r="AZ8" s="8">
        <f aca="true" t="shared" si="25" ref="AZ8:AZ29">AO8*1.5</f>
        <v>6795</v>
      </c>
      <c r="BA8" s="8">
        <f aca="true" t="shared" si="26" ref="BA8:BA28">AZ8+AR8</f>
        <v>9721.529999999999</v>
      </c>
      <c r="BB8" s="8">
        <f aca="true" t="shared" si="27" ref="BB8:BB29">1.6*AO8</f>
        <v>7248</v>
      </c>
      <c r="BC8" s="8">
        <f aca="true" t="shared" si="28" ref="BC8:BC29">BB8+AR8</f>
        <v>10174.529999999999</v>
      </c>
      <c r="BD8" s="8">
        <f aca="true" t="shared" si="29" ref="BD8:BD29">1.7*AO8</f>
        <v>7701</v>
      </c>
      <c r="BE8" s="8">
        <f aca="true" t="shared" si="30" ref="BE8:BE29">BD8+AR8</f>
        <v>10627.529999999999</v>
      </c>
      <c r="BF8" s="8">
        <f aca="true" t="shared" si="31" ref="BF8:BF29">1.8*AO8</f>
        <v>8154</v>
      </c>
      <c r="BG8" s="8">
        <f aca="true" t="shared" si="32" ref="BG8:BG29">BF8+AR8</f>
        <v>11080.529999999999</v>
      </c>
      <c r="BH8" s="8">
        <f aca="true" t="shared" si="33" ref="BH8:BH29">2*AO8</f>
        <v>9060</v>
      </c>
      <c r="BI8" s="8">
        <f aca="true" t="shared" si="34" ref="BI8:BI29">BH8+AR8</f>
        <v>11986.529999999999</v>
      </c>
      <c r="DB8" s="38">
        <f>ROUND(2.5*'[2]Труд_по старости'!DE8,2)</f>
        <v>4125.15</v>
      </c>
      <c r="DC8" s="33">
        <f>ROUND(2.5*'[2]Труд_по старости'!DF8,2)</f>
        <v>4875</v>
      </c>
      <c r="DD8" s="78">
        <f>2.5*'[2]Труд_по старости'!BP8</f>
        <v>3900</v>
      </c>
      <c r="DE8" s="33">
        <f aca="true" t="shared" si="35" ref="DE8:DE29">DD8-AD8</f>
        <v>750</v>
      </c>
      <c r="DF8" s="33">
        <f>2.5*'[2]Труд_по старости'!BR8</f>
        <v>3630</v>
      </c>
      <c r="DG8" s="38">
        <f aca="true" t="shared" si="36" ref="DG8:DG28">DF8-AD8</f>
        <v>480</v>
      </c>
      <c r="DH8" s="33">
        <f>2.5*'[2]Труд_по старости'!BT8</f>
        <v>4485</v>
      </c>
      <c r="DI8" s="38">
        <f aca="true" t="shared" si="37" ref="DI8:DI29">DH8-DD8</f>
        <v>585</v>
      </c>
    </row>
    <row r="9" spans="1:113" ht="12.75">
      <c r="A9" s="34" t="s">
        <v>74</v>
      </c>
      <c r="B9" s="34"/>
      <c r="C9" s="42">
        <f>ROUND('[2]Труд_по старости'!B9*2.5,2)</f>
        <v>1500</v>
      </c>
      <c r="D9" s="42">
        <f>ROUND('[2]Труд_по старости'!C9*2.5,2)</f>
        <v>1597.5</v>
      </c>
      <c r="E9" s="42">
        <f>ROUND('[2]Труд_по старости'!D9*2.5,2)</f>
        <v>1741.28</v>
      </c>
      <c r="F9" s="42">
        <f t="shared" si="0"/>
        <v>104.47000000000003</v>
      </c>
      <c r="G9" s="42">
        <f>ROUND('[2]Труд_по старости'!F9*2.5,2)</f>
        <v>1845.75</v>
      </c>
      <c r="H9" s="33">
        <f>ROUND('[2]Труд_по старости'!G9*2.5,2)</f>
        <v>1993.4</v>
      </c>
      <c r="I9" s="42">
        <f t="shared" si="1"/>
        <v>252.12000000000012</v>
      </c>
      <c r="J9" s="33">
        <f>ROUND('[2]Труд_по старости'!I9*2.5,2)</f>
        <v>2070</v>
      </c>
      <c r="K9" s="34">
        <f t="shared" si="2"/>
        <v>76.59999999999991</v>
      </c>
      <c r="L9" s="33">
        <f>ROUND('[2]Труд_по старости'!K9*2.5,2)</f>
        <v>2200</v>
      </c>
      <c r="M9" s="33">
        <f t="shared" si="3"/>
        <v>206.5999999999999</v>
      </c>
      <c r="N9" s="33">
        <f>ROUND('[2]Труд_по старости'!M9*2.5,2)</f>
        <v>3000</v>
      </c>
      <c r="O9" s="33">
        <f t="shared" si="4"/>
        <v>800</v>
      </c>
      <c r="P9" s="72">
        <f>ROUND('[2]Труд_по старости'!O9*2.5,2)</f>
        <v>3000</v>
      </c>
      <c r="Q9" s="46">
        <f t="shared" si="5"/>
        <v>800</v>
      </c>
      <c r="R9" s="46">
        <f t="shared" si="6"/>
        <v>3450</v>
      </c>
      <c r="S9" s="46">
        <f t="shared" si="7"/>
        <v>4140</v>
      </c>
      <c r="T9" s="46">
        <f t="shared" si="8"/>
        <v>6000</v>
      </c>
      <c r="U9" s="8">
        <f t="shared" si="9"/>
        <v>1104</v>
      </c>
      <c r="V9" s="33">
        <f t="shared" si="10"/>
        <v>1600</v>
      </c>
      <c r="W9" s="33">
        <f>ROUND('[2]Труд_по старости'!X9*2.5,2)</f>
        <v>3180</v>
      </c>
      <c r="X9" s="33">
        <f t="shared" si="11"/>
        <v>3370.8</v>
      </c>
      <c r="Y9" s="42">
        <f>ROUND('[2]Труд_по старости'!AA9*2.5,2)</f>
        <v>3450.3</v>
      </c>
      <c r="Z9" s="33">
        <f t="shared" si="12"/>
        <v>190.80000000000018</v>
      </c>
      <c r="AA9" s="33">
        <f t="shared" si="13"/>
        <v>270.3000000000002</v>
      </c>
      <c r="AB9" s="42">
        <f>2.5*'[2]Труд_по старости'!AD9</f>
        <v>3709.0750000000003</v>
      </c>
      <c r="AC9" s="42">
        <f t="shared" si="14"/>
        <v>258.7750000000001</v>
      </c>
      <c r="AD9" s="33">
        <f>2.5*'[2]Труд_по старости'!AF9</f>
        <v>4200</v>
      </c>
      <c r="AE9" s="42">
        <f t="shared" si="15"/>
        <v>490.9249999999997</v>
      </c>
      <c r="AF9" s="42">
        <f t="shared" si="16"/>
        <v>749.6999999999998</v>
      </c>
      <c r="AG9" s="42">
        <f>ROUND(2.5*'[2]Труд_по старости'!AI9,2)</f>
        <v>4494</v>
      </c>
      <c r="AH9" s="42">
        <f>2.5*'[2]Труд_по старости'!AJ9</f>
        <v>4431</v>
      </c>
      <c r="AI9" s="42">
        <f>ROUND(2.5*'[2]Труд_по старости'!AK9,2)</f>
        <v>5150</v>
      </c>
      <c r="AJ9" s="42">
        <f>ROUND(2.5*'[2]Труд_по старости'!AM9,2)</f>
        <v>5500.2</v>
      </c>
      <c r="AK9" s="42">
        <f>2.5*'[2]Труд_по старости'!AN9</f>
        <v>6500</v>
      </c>
      <c r="AL9" s="42">
        <f>ROUND(2.5*'[2]Труд_по старости'!AO9,2)</f>
        <v>6922.5</v>
      </c>
      <c r="AM9" s="33">
        <f>2.5*'[2]Труд_по старости'!AL9</f>
        <v>5080</v>
      </c>
      <c r="AN9" s="42">
        <f>2.5*'[2]Труд_по старости'!AQ9</f>
        <v>5359.400000000001</v>
      </c>
      <c r="AO9" s="33">
        <f>2.5*'[2]Труд_по старости'!AR9</f>
        <v>6040</v>
      </c>
      <c r="AP9" s="42">
        <f>2.5*'[2]Труд_по старости'!AS9</f>
        <v>5573.125</v>
      </c>
      <c r="AQ9" s="8">
        <f t="shared" si="17"/>
        <v>6945.999999999999</v>
      </c>
      <c r="AR9">
        <f>1926.53+1000</f>
        <v>2926.5299999999997</v>
      </c>
      <c r="AS9">
        <f t="shared" si="18"/>
        <v>9872.529999999999</v>
      </c>
      <c r="AT9" s="8">
        <f t="shared" si="19"/>
        <v>7248</v>
      </c>
      <c r="AU9" s="8">
        <f t="shared" si="20"/>
        <v>10174.529999999999</v>
      </c>
      <c r="AV9" s="8">
        <f t="shared" si="21"/>
        <v>7852</v>
      </c>
      <c r="AW9" s="8">
        <f t="shared" si="22"/>
        <v>10778.529999999999</v>
      </c>
      <c r="AX9" s="8">
        <f t="shared" si="23"/>
        <v>8456</v>
      </c>
      <c r="AY9" s="8">
        <f t="shared" si="24"/>
        <v>11382.529999999999</v>
      </c>
      <c r="AZ9" s="8">
        <f t="shared" si="25"/>
        <v>9060</v>
      </c>
      <c r="BA9" s="8">
        <f t="shared" si="26"/>
        <v>11986.529999999999</v>
      </c>
      <c r="BB9" s="8">
        <f t="shared" si="27"/>
        <v>9664</v>
      </c>
      <c r="BC9" s="8">
        <f t="shared" si="28"/>
        <v>12590.529999999999</v>
      </c>
      <c r="BD9" s="8">
        <f t="shared" si="29"/>
        <v>10268</v>
      </c>
      <c r="BE9" s="8">
        <f t="shared" si="30"/>
        <v>13194.529999999999</v>
      </c>
      <c r="BF9" s="8">
        <f t="shared" si="31"/>
        <v>10872</v>
      </c>
      <c r="BG9" s="8">
        <f t="shared" si="32"/>
        <v>13798.529999999999</v>
      </c>
      <c r="BH9" s="8">
        <f t="shared" si="33"/>
        <v>12080</v>
      </c>
      <c r="BI9" s="8">
        <f t="shared" si="34"/>
        <v>15006.529999999999</v>
      </c>
      <c r="DB9" s="38">
        <f>ROUND(2.5*'[2]Труд_по старости'!DE9,2)</f>
        <v>5500.2</v>
      </c>
      <c r="DC9" s="33">
        <f>ROUND(2.5*'[2]Труд_по старости'!DF9,2)</f>
        <v>6500</v>
      </c>
      <c r="DD9" s="78">
        <f>2.5*'[2]Труд_по старости'!BP9</f>
        <v>5200</v>
      </c>
      <c r="DE9" s="33">
        <f t="shared" si="35"/>
        <v>1000</v>
      </c>
      <c r="DF9" s="33">
        <f>2.5*'[2]Труд_по старости'!BR9</f>
        <v>4840</v>
      </c>
      <c r="DG9" s="38">
        <f t="shared" si="36"/>
        <v>640</v>
      </c>
      <c r="DH9" s="33">
        <f>2.5*'[2]Труд_по старости'!BT9</f>
        <v>5980</v>
      </c>
      <c r="DI9" s="38">
        <f t="shared" si="37"/>
        <v>780</v>
      </c>
    </row>
    <row r="10" spans="1:113" ht="12.75">
      <c r="A10" s="34" t="s">
        <v>75</v>
      </c>
      <c r="B10" s="34"/>
      <c r="C10" s="42">
        <f>ROUND('[2]Труд_по старости'!B10*2.5,2)</f>
        <v>1875</v>
      </c>
      <c r="D10" s="42">
        <f>ROUND('[2]Труд_по старости'!C10*2.5,2)</f>
        <v>1996.88</v>
      </c>
      <c r="E10" s="42">
        <f>ROUND('[2]Труд_по старости'!D10*2.5,2)</f>
        <v>2176.6</v>
      </c>
      <c r="F10" s="42">
        <f t="shared" si="0"/>
        <v>130.5999999999999</v>
      </c>
      <c r="G10" s="42">
        <f>ROUND('[2]Труд_по старости'!F10*2.5,2)</f>
        <v>2307.2</v>
      </c>
      <c r="H10" s="33">
        <f>ROUND('[2]Труд_по старости'!G10*2.5,2)</f>
        <v>2491.78</v>
      </c>
      <c r="I10" s="42">
        <f t="shared" si="1"/>
        <v>315.1800000000003</v>
      </c>
      <c r="J10" s="33">
        <f>ROUND('[2]Труд_по старости'!I10*2.5,2)</f>
        <v>2587.53</v>
      </c>
      <c r="K10" s="34">
        <f t="shared" si="2"/>
        <v>95.75</v>
      </c>
      <c r="L10" s="33">
        <f>ROUND('[2]Труд_по старости'!K10*2.5,2)</f>
        <v>2750.03</v>
      </c>
      <c r="M10" s="33">
        <f t="shared" si="3"/>
        <v>258.25</v>
      </c>
      <c r="N10" s="33">
        <f>ROUND('[2]Труд_по старости'!M10*2.5,2)</f>
        <v>3750.03</v>
      </c>
      <c r="O10" s="33">
        <f t="shared" si="4"/>
        <v>1000</v>
      </c>
      <c r="P10" s="72">
        <f>ROUND('[2]Труд_по старости'!O10*2.5,2)</f>
        <v>3750</v>
      </c>
      <c r="Q10" s="46">
        <f t="shared" si="5"/>
        <v>999.9699999999998</v>
      </c>
      <c r="R10" s="46">
        <f t="shared" si="6"/>
        <v>4312.5</v>
      </c>
      <c r="S10" s="46">
        <f t="shared" si="7"/>
        <v>5175</v>
      </c>
      <c r="T10" s="46">
        <f t="shared" si="8"/>
        <v>7500</v>
      </c>
      <c r="U10" s="8">
        <f t="shared" si="9"/>
        <v>1380</v>
      </c>
      <c r="V10" s="33">
        <f t="shared" si="10"/>
        <v>2000</v>
      </c>
      <c r="W10" s="33">
        <f>ROUND('[2]Труд_по старости'!X10*2.5,2)</f>
        <v>3975</v>
      </c>
      <c r="X10" s="33">
        <f t="shared" si="11"/>
        <v>4213.5</v>
      </c>
      <c r="Y10" s="33">
        <f>ROUND('[2]Труд_по старости'!AA10*2.5,2)</f>
        <v>4312.88</v>
      </c>
      <c r="Z10" s="33">
        <f t="shared" si="12"/>
        <v>238.5</v>
      </c>
      <c r="AA10" s="33">
        <f t="shared" si="13"/>
        <v>337.8800000000001</v>
      </c>
      <c r="AB10" s="33">
        <f>2.5*'[2]Труд_по старости'!AD10</f>
        <v>4636.35</v>
      </c>
      <c r="AC10" s="42">
        <f t="shared" si="14"/>
        <v>323.47000000000025</v>
      </c>
      <c r="AD10" s="33">
        <f>2.5*'[2]Труд_по старости'!AF10</f>
        <v>5250</v>
      </c>
      <c r="AE10" s="42">
        <f t="shared" si="15"/>
        <v>613.6499999999996</v>
      </c>
      <c r="AF10" s="33">
        <f t="shared" si="16"/>
        <v>937.1199999999999</v>
      </c>
      <c r="AG10" s="42">
        <f>ROUND(2.5*'[2]Труд_по старости'!AI10,2)</f>
        <v>5617.5</v>
      </c>
      <c r="AH10" s="42">
        <f>2.5*'[2]Труд_по старости'!AJ10</f>
        <v>5538.75</v>
      </c>
      <c r="AI10" s="42">
        <f>ROUND(2.5*'[2]Труд_по старости'!AK10,2)</f>
        <v>6437.5</v>
      </c>
      <c r="AJ10" s="42">
        <f>ROUND(2.5*'[2]Труд_по старости'!AM10,2)</f>
        <v>6875.25</v>
      </c>
      <c r="AK10" s="42">
        <f>2.5*'[2]Труд_по старости'!AN10</f>
        <v>8125</v>
      </c>
      <c r="AL10" s="42">
        <f>ROUND(2.5*'[2]Труд_по старости'!AO10,2)</f>
        <v>8653.13</v>
      </c>
      <c r="AM10" s="33">
        <f>2.5*'[2]Труд_по старости'!AL10</f>
        <v>6350</v>
      </c>
      <c r="AN10" s="42">
        <f>2.5*'[2]Труд_по старости'!AQ10</f>
        <v>6699.25</v>
      </c>
      <c r="AO10" s="33">
        <f>2.5*'[2]Труд_по старости'!AR10</f>
        <v>7550</v>
      </c>
      <c r="AP10" s="42">
        <f>2.5*'[2]Труд_по старости'!AS10</f>
        <v>6966.425</v>
      </c>
      <c r="AQ10" s="8">
        <f t="shared" si="17"/>
        <v>8682.5</v>
      </c>
      <c r="AR10">
        <f>1926.53+1000</f>
        <v>2926.5299999999997</v>
      </c>
      <c r="AS10">
        <f t="shared" si="18"/>
        <v>11609.029999999999</v>
      </c>
      <c r="AT10" s="8">
        <f t="shared" si="19"/>
        <v>9060</v>
      </c>
      <c r="AU10" s="8">
        <f t="shared" si="20"/>
        <v>11986.529999999999</v>
      </c>
      <c r="AV10" s="8">
        <f t="shared" si="21"/>
        <v>9815</v>
      </c>
      <c r="AW10" s="8">
        <f t="shared" si="22"/>
        <v>12741.529999999999</v>
      </c>
      <c r="AX10" s="8">
        <f t="shared" si="23"/>
        <v>10570</v>
      </c>
      <c r="AY10" s="8">
        <f t="shared" si="24"/>
        <v>13496.529999999999</v>
      </c>
      <c r="AZ10" s="8">
        <f t="shared" si="25"/>
        <v>11325</v>
      </c>
      <c r="BA10" s="8">
        <f t="shared" si="26"/>
        <v>14251.529999999999</v>
      </c>
      <c r="BB10" s="8">
        <f t="shared" si="27"/>
        <v>12080</v>
      </c>
      <c r="BC10" s="8">
        <f t="shared" si="28"/>
        <v>15006.529999999999</v>
      </c>
      <c r="BD10" s="8">
        <f t="shared" si="29"/>
        <v>12835</v>
      </c>
      <c r="BE10" s="8">
        <f t="shared" si="30"/>
        <v>15761.529999999999</v>
      </c>
      <c r="BF10" s="8">
        <f t="shared" si="31"/>
        <v>13590</v>
      </c>
      <c r="BG10" s="8">
        <f t="shared" si="32"/>
        <v>16516.53</v>
      </c>
      <c r="BH10" s="8">
        <f t="shared" si="33"/>
        <v>15100</v>
      </c>
      <c r="BI10" s="8">
        <f t="shared" si="34"/>
        <v>18026.53</v>
      </c>
      <c r="DB10" s="38">
        <f>ROUND(2.5*'[2]Труд_по старости'!DE10,2)</f>
        <v>6875.25</v>
      </c>
      <c r="DC10" s="33">
        <f>ROUND(2.5*'[2]Труд_по старости'!DF10,2)</f>
        <v>8125</v>
      </c>
      <c r="DD10" s="78">
        <f>2.5*'[2]Труд_по старости'!BP10</f>
        <v>6500</v>
      </c>
      <c r="DE10" s="33">
        <f t="shared" si="35"/>
        <v>1250</v>
      </c>
      <c r="DF10" s="33">
        <f>2.5*'[2]Труд_по старости'!BR10</f>
        <v>6050</v>
      </c>
      <c r="DG10" s="38">
        <f t="shared" si="36"/>
        <v>800</v>
      </c>
      <c r="DH10" s="33">
        <f>2.5*'[2]Труд_по старости'!BT10</f>
        <v>7475</v>
      </c>
      <c r="DI10" s="38">
        <f t="shared" si="37"/>
        <v>975</v>
      </c>
    </row>
    <row r="11" spans="1:113" ht="12.75">
      <c r="A11" s="34" t="s">
        <v>76</v>
      </c>
      <c r="B11" s="34"/>
      <c r="C11" s="42">
        <f>ROUND('[2]Труд_по старости'!B11*2.5,2)</f>
        <v>2250</v>
      </c>
      <c r="D11" s="42">
        <f>ROUND('[2]Труд_по старости'!C11*2.5,2)</f>
        <v>2396.25</v>
      </c>
      <c r="E11" s="42">
        <f>ROUND('[2]Труд_по старости'!D11*2.5,2)</f>
        <v>2611.93</v>
      </c>
      <c r="F11" s="42">
        <f t="shared" si="0"/>
        <v>156.72000000000025</v>
      </c>
      <c r="G11" s="42">
        <f>ROUND('[2]Труд_по старости'!F11*2.5,2)</f>
        <v>2768.65</v>
      </c>
      <c r="H11" s="33">
        <f>ROUND('[2]Труд_по старости'!G11*2.5,2)</f>
        <v>2990.15</v>
      </c>
      <c r="I11" s="42">
        <f t="shared" si="1"/>
        <v>378.22000000000025</v>
      </c>
      <c r="J11" s="33">
        <f>ROUND('[2]Труд_по старости'!I11*2.5,2)</f>
        <v>3105.05</v>
      </c>
      <c r="K11" s="34">
        <f t="shared" si="2"/>
        <v>114.90000000000009</v>
      </c>
      <c r="L11" s="33">
        <f>ROUND('[2]Труд_по старости'!K11*2.5,2)</f>
        <v>3300.05</v>
      </c>
      <c r="M11" s="33">
        <f t="shared" si="3"/>
        <v>309.9000000000001</v>
      </c>
      <c r="N11" s="33">
        <f>ROUND('[2]Труд_по старости'!M11*2.5,2)</f>
        <v>4500.08</v>
      </c>
      <c r="O11" s="33">
        <f t="shared" si="4"/>
        <v>1200.0299999999997</v>
      </c>
      <c r="P11" s="72">
        <f>ROUND('[2]Труд_по старости'!O11*2.5,2)</f>
        <v>4500</v>
      </c>
      <c r="Q11" s="46">
        <f t="shared" si="5"/>
        <v>1199.9499999999998</v>
      </c>
      <c r="R11" s="46">
        <f t="shared" si="6"/>
        <v>5175</v>
      </c>
      <c r="S11" s="46">
        <f t="shared" si="7"/>
        <v>6210</v>
      </c>
      <c r="T11" s="46">
        <f t="shared" si="8"/>
        <v>9000</v>
      </c>
      <c r="U11" s="8">
        <f t="shared" si="9"/>
        <v>1656</v>
      </c>
      <c r="V11" s="33">
        <f t="shared" si="10"/>
        <v>2400</v>
      </c>
      <c r="W11" s="33">
        <f>ROUND('[2]Труд_по старости'!X11*2.5,2)</f>
        <v>4770</v>
      </c>
      <c r="X11" s="33">
        <f t="shared" si="11"/>
        <v>5056.2</v>
      </c>
      <c r="Y11" s="33">
        <f>ROUND('[2]Труд_по старости'!AA11*2.5,2)</f>
        <v>5175.45</v>
      </c>
      <c r="Z11" s="33">
        <f t="shared" si="12"/>
        <v>286.1999999999998</v>
      </c>
      <c r="AA11" s="33">
        <f t="shared" si="13"/>
        <v>405.4499999999998</v>
      </c>
      <c r="AB11" s="42">
        <f>2.5*'[2]Труд_по старости'!AD11</f>
        <v>5563.6</v>
      </c>
      <c r="AC11" s="42">
        <f t="shared" si="14"/>
        <v>388.15000000000055</v>
      </c>
      <c r="AD11" s="33">
        <f>2.5*'[2]Труд_по старости'!AF11</f>
        <v>6300</v>
      </c>
      <c r="AE11" s="42">
        <f t="shared" si="15"/>
        <v>736.3999999999996</v>
      </c>
      <c r="AF11" s="33">
        <f t="shared" si="16"/>
        <v>1124.5500000000002</v>
      </c>
      <c r="AG11" s="42">
        <f>ROUND(2.5*'[2]Труд_по старости'!AI11,2)</f>
        <v>6741</v>
      </c>
      <c r="AH11" s="42">
        <f>2.5*'[2]Труд_по старости'!AJ11</f>
        <v>6646.5</v>
      </c>
      <c r="AI11" s="42">
        <f>ROUND(2.5*'[2]Труд_по старости'!AK11,2)</f>
        <v>7725</v>
      </c>
      <c r="AJ11" s="42">
        <f>ROUND(2.5*'[2]Труд_по старости'!AM11,2)</f>
        <v>8250.3</v>
      </c>
      <c r="AK11" s="42">
        <f>2.5*'[2]Труд_по старости'!AN11</f>
        <v>9750</v>
      </c>
      <c r="AL11" s="42">
        <f>ROUND(2.5*'[2]Труд_по старости'!AO11,2)</f>
        <v>10383.75</v>
      </c>
      <c r="AM11" s="33">
        <f>2.5*'[2]Труд_по старости'!AL11</f>
        <v>7620</v>
      </c>
      <c r="AN11" s="42">
        <f>2.5*'[2]Труд_по старости'!AQ11</f>
        <v>8039.099999999999</v>
      </c>
      <c r="AO11" s="33">
        <f>2.5*'[2]Труд_по старости'!AR11</f>
        <v>9060</v>
      </c>
      <c r="AP11" s="42">
        <f>2.5*'[2]Труд_по старости'!AS11</f>
        <v>8359.7</v>
      </c>
      <c r="AQ11" s="8">
        <f t="shared" si="17"/>
        <v>10419</v>
      </c>
      <c r="AR11">
        <f>1926.53+1000</f>
        <v>2926.5299999999997</v>
      </c>
      <c r="AS11">
        <f t="shared" si="18"/>
        <v>13345.529999999999</v>
      </c>
      <c r="AT11" s="8">
        <f t="shared" si="19"/>
        <v>10872</v>
      </c>
      <c r="AU11" s="8">
        <f t="shared" si="20"/>
        <v>13798.529999999999</v>
      </c>
      <c r="AV11" s="8">
        <f t="shared" si="21"/>
        <v>11778</v>
      </c>
      <c r="AW11" s="8">
        <f t="shared" si="22"/>
        <v>14704.529999999999</v>
      </c>
      <c r="AX11" s="8">
        <f t="shared" si="23"/>
        <v>12684</v>
      </c>
      <c r="AY11" s="8">
        <f t="shared" si="24"/>
        <v>15610.529999999999</v>
      </c>
      <c r="AZ11" s="8">
        <f t="shared" si="25"/>
        <v>13590</v>
      </c>
      <c r="BA11" s="8">
        <f t="shared" si="26"/>
        <v>16516.53</v>
      </c>
      <c r="BB11" s="8">
        <f t="shared" si="27"/>
        <v>14496</v>
      </c>
      <c r="BC11" s="8">
        <f t="shared" si="28"/>
        <v>17422.53</v>
      </c>
      <c r="BD11" s="8">
        <f t="shared" si="29"/>
        <v>15402</v>
      </c>
      <c r="BE11" s="8">
        <f t="shared" si="30"/>
        <v>18328.53</v>
      </c>
      <c r="BF11" s="8">
        <f t="shared" si="31"/>
        <v>16308</v>
      </c>
      <c r="BG11" s="8">
        <f t="shared" si="32"/>
        <v>19234.53</v>
      </c>
      <c r="BH11" s="8">
        <f t="shared" si="33"/>
        <v>18120</v>
      </c>
      <c r="BI11" s="8">
        <f t="shared" si="34"/>
        <v>21046.53</v>
      </c>
      <c r="DB11" s="38">
        <f>ROUND(2.5*'[2]Труд_по старости'!DE11,2)</f>
        <v>8250.3</v>
      </c>
      <c r="DC11" s="33">
        <f>ROUND(2.5*'[2]Труд_по старости'!DF11,2)</f>
        <v>9750</v>
      </c>
      <c r="DD11" s="78">
        <f>2.5*'[2]Труд_по старости'!BP11</f>
        <v>7800</v>
      </c>
      <c r="DE11" s="33">
        <f t="shared" si="35"/>
        <v>1500</v>
      </c>
      <c r="DF11" s="33">
        <f>2.5*'[2]Труд_по старости'!BR11</f>
        <v>7260</v>
      </c>
      <c r="DG11" s="38">
        <f t="shared" si="36"/>
        <v>960</v>
      </c>
      <c r="DH11" s="33">
        <f>2.5*'[2]Труд_по старости'!BT11</f>
        <v>8970</v>
      </c>
      <c r="DI11" s="38">
        <f t="shared" si="37"/>
        <v>1170</v>
      </c>
    </row>
    <row r="12" spans="1:113" ht="12.75">
      <c r="A12" s="32" t="s">
        <v>90</v>
      </c>
      <c r="B12" s="32" t="s">
        <v>105</v>
      </c>
      <c r="C12" s="42"/>
      <c r="D12" s="42"/>
      <c r="E12" s="42"/>
      <c r="F12" s="42">
        <f t="shared" si="0"/>
        <v>0</v>
      </c>
      <c r="G12" s="42">
        <f>ROUND(E12*1.06,2)</f>
        <v>0</v>
      </c>
      <c r="H12" s="33">
        <f>ROUND(G12*1.08,2)</f>
        <v>0</v>
      </c>
      <c r="I12" s="42">
        <f t="shared" si="1"/>
        <v>0</v>
      </c>
      <c r="J12" s="33">
        <f>ROUND(H12*J$5,2)</f>
        <v>0</v>
      </c>
      <c r="K12" s="34">
        <f t="shared" si="2"/>
        <v>0</v>
      </c>
      <c r="L12" s="42"/>
      <c r="M12" s="33">
        <f t="shared" si="3"/>
        <v>0</v>
      </c>
      <c r="N12" s="33">
        <f>ROUND(L12*N$5,2)</f>
        <v>0</v>
      </c>
      <c r="O12" s="33">
        <f t="shared" si="4"/>
        <v>0</v>
      </c>
      <c r="P12" s="72"/>
      <c r="Q12" s="46">
        <f t="shared" si="5"/>
        <v>0</v>
      </c>
      <c r="R12" s="46">
        <f t="shared" si="6"/>
        <v>0</v>
      </c>
      <c r="S12" s="46">
        <f t="shared" si="7"/>
        <v>0</v>
      </c>
      <c r="T12" s="46">
        <f t="shared" si="8"/>
        <v>0</v>
      </c>
      <c r="U12" s="8">
        <f t="shared" si="9"/>
        <v>0</v>
      </c>
      <c r="V12" s="33">
        <f t="shared" si="10"/>
        <v>0</v>
      </c>
      <c r="W12" s="33"/>
      <c r="X12" s="33">
        <f t="shared" si="11"/>
        <v>0</v>
      </c>
      <c r="Y12" s="33">
        <f>ROUND(W12*1.085,2)</f>
        <v>0</v>
      </c>
      <c r="Z12" s="33">
        <f t="shared" si="12"/>
        <v>0</v>
      </c>
      <c r="AA12" s="33">
        <f t="shared" si="13"/>
        <v>0</v>
      </c>
      <c r="AB12" s="33"/>
      <c r="AC12" s="42">
        <f t="shared" si="14"/>
        <v>0</v>
      </c>
      <c r="AD12" s="33"/>
      <c r="AE12" s="42">
        <f t="shared" si="15"/>
        <v>0</v>
      </c>
      <c r="AF12" s="33">
        <f t="shared" si="16"/>
        <v>0</v>
      </c>
      <c r="AG12" s="33"/>
      <c r="AH12" s="44"/>
      <c r="AI12" s="44"/>
      <c r="AJ12" s="44"/>
      <c r="AK12" s="44"/>
      <c r="AL12" s="44"/>
      <c r="AM12" s="34"/>
      <c r="AN12" s="44"/>
      <c r="AO12" s="34"/>
      <c r="AP12" s="34"/>
      <c r="AQ12" s="8">
        <f t="shared" si="17"/>
        <v>0</v>
      </c>
      <c r="AS12">
        <f t="shared" si="18"/>
        <v>0</v>
      </c>
      <c r="AT12" s="8">
        <f t="shared" si="19"/>
        <v>0</v>
      </c>
      <c r="AU12" s="8">
        <f t="shared" si="20"/>
        <v>0</v>
      </c>
      <c r="AV12" s="8">
        <f t="shared" si="21"/>
        <v>0</v>
      </c>
      <c r="AW12" s="8">
        <f t="shared" si="22"/>
        <v>0</v>
      </c>
      <c r="AX12" s="8">
        <f t="shared" si="23"/>
        <v>0</v>
      </c>
      <c r="AY12" s="8">
        <f t="shared" si="24"/>
        <v>0</v>
      </c>
      <c r="AZ12" s="8">
        <f t="shared" si="25"/>
        <v>0</v>
      </c>
      <c r="BA12" s="8">
        <f t="shared" si="26"/>
        <v>0</v>
      </c>
      <c r="BB12" s="8">
        <f t="shared" si="27"/>
        <v>0</v>
      </c>
      <c r="BC12" s="8">
        <f t="shared" si="28"/>
        <v>0</v>
      </c>
      <c r="BD12" s="8">
        <f t="shared" si="29"/>
        <v>0</v>
      </c>
      <c r="BE12" s="8">
        <f t="shared" si="30"/>
        <v>0</v>
      </c>
      <c r="BF12" s="8">
        <f t="shared" si="31"/>
        <v>0</v>
      </c>
      <c r="BG12" s="8">
        <f t="shared" si="32"/>
        <v>0</v>
      </c>
      <c r="BH12" s="8">
        <f t="shared" si="33"/>
        <v>0</v>
      </c>
      <c r="BI12" s="8">
        <f t="shared" si="34"/>
        <v>0</v>
      </c>
      <c r="DB12" s="35"/>
      <c r="DC12" s="34"/>
      <c r="DD12" s="78"/>
      <c r="DE12" s="33">
        <f t="shared" si="35"/>
        <v>0</v>
      </c>
      <c r="DF12" s="33"/>
      <c r="DG12" s="38">
        <f t="shared" si="36"/>
        <v>0</v>
      </c>
      <c r="DH12" s="33"/>
      <c r="DI12" s="38">
        <f t="shared" si="37"/>
        <v>0</v>
      </c>
    </row>
    <row r="13" spans="1:113" ht="12.75">
      <c r="A13" s="34" t="s">
        <v>73</v>
      </c>
      <c r="B13" s="34"/>
      <c r="C13" s="42">
        <f>ROUND('[2]Труд_по старости'!B8*2,2)</f>
        <v>900</v>
      </c>
      <c r="D13" s="42">
        <f>ROUND('[2]Труд_по старости'!C8*2,2)</f>
        <v>958.5</v>
      </c>
      <c r="E13" s="42">
        <f>ROUND('[2]Труд_по старости'!D8*2,2)</f>
        <v>1044.76</v>
      </c>
      <c r="F13" s="42">
        <f t="shared" si="0"/>
        <v>62.680000000000064</v>
      </c>
      <c r="G13" s="42">
        <f>ROUND('[2]Труд_по старости'!F8*2,2)</f>
        <v>1107.44</v>
      </c>
      <c r="H13" s="33">
        <f>ROUND('[2]Труд_по старости'!G8*2,2)</f>
        <v>1196.04</v>
      </c>
      <c r="I13" s="42">
        <f t="shared" si="1"/>
        <v>151.27999999999997</v>
      </c>
      <c r="J13" s="42">
        <f>ROUND('[2]Труд_по старости'!I8*2,2)</f>
        <v>1242</v>
      </c>
      <c r="K13" s="34">
        <f t="shared" si="2"/>
        <v>45.960000000000036</v>
      </c>
      <c r="L13" s="42">
        <f>ROUND('[2]Труд_по старости'!K8*2,2)</f>
        <v>1320</v>
      </c>
      <c r="M13" s="33">
        <f t="shared" si="3"/>
        <v>123.96000000000004</v>
      </c>
      <c r="N13" s="33">
        <f>ROUND('[2]Труд_по старости'!M8*2,2)</f>
        <v>1800</v>
      </c>
      <c r="O13" s="33">
        <f t="shared" si="4"/>
        <v>480</v>
      </c>
      <c r="P13" s="115">
        <f>ROUND('[2]Труд_по старости'!O8*2,2)</f>
        <v>1800</v>
      </c>
      <c r="Q13" s="48">
        <f t="shared" si="5"/>
        <v>480</v>
      </c>
      <c r="R13" s="48">
        <f t="shared" si="6"/>
        <v>2070</v>
      </c>
      <c r="S13" s="48">
        <f t="shared" si="7"/>
        <v>2484</v>
      </c>
      <c r="T13" s="48">
        <f t="shared" si="8"/>
        <v>3600</v>
      </c>
      <c r="U13" s="8">
        <f t="shared" si="9"/>
        <v>662</v>
      </c>
      <c r="V13" s="33">
        <f t="shared" si="10"/>
        <v>960</v>
      </c>
      <c r="W13" s="33">
        <f>ROUND('[2]Труд_по старости'!X8*2,2)</f>
        <v>1908</v>
      </c>
      <c r="X13" s="33">
        <f t="shared" si="11"/>
        <v>2022.48</v>
      </c>
      <c r="Y13" s="33">
        <f>ROUND('[2]Труд_по старости'!AA8*2,2)</f>
        <v>2070.18</v>
      </c>
      <c r="Z13" s="33">
        <f t="shared" si="12"/>
        <v>114.48000000000002</v>
      </c>
      <c r="AA13" s="33">
        <f t="shared" si="13"/>
        <v>162.17999999999984</v>
      </c>
      <c r="AB13" s="33">
        <f>2*'[2]Труд_по старости'!AD8</f>
        <v>2225.44</v>
      </c>
      <c r="AC13" s="42">
        <f t="shared" si="14"/>
        <v>155.26000000000022</v>
      </c>
      <c r="AD13" s="33">
        <f>2*'[2]Труд_по старости'!AF8</f>
        <v>2520</v>
      </c>
      <c r="AE13" s="42">
        <f t="shared" si="15"/>
        <v>294.55999999999995</v>
      </c>
      <c r="AF13" s="33">
        <f t="shared" si="16"/>
        <v>449.82000000000016</v>
      </c>
      <c r="AG13" s="42">
        <f>ROUND(2*'[2]Труд_по старости'!AI8,2)</f>
        <v>2696.4</v>
      </c>
      <c r="AH13" s="42">
        <f>'[2]Труд_по старости'!AJ8*2</f>
        <v>2658.6</v>
      </c>
      <c r="AI13" s="42">
        <f>ROUND(2*'[2]Труд_по старости'!AK8,2)</f>
        <v>3090</v>
      </c>
      <c r="AJ13" s="42">
        <f>ROUND('[2]Труд_по старости'!AM8*2,2)</f>
        <v>3300.12</v>
      </c>
      <c r="AK13" s="42">
        <f>2*'[2]Труд_по старости'!AN8</f>
        <v>3900</v>
      </c>
      <c r="AL13" s="42">
        <f>ROUND(2*'[2]Труд_по старости'!AO8,2)</f>
        <v>4153.5</v>
      </c>
      <c r="AM13" s="33">
        <f>'[2]Труд_по старости'!AL8*2</f>
        <v>3048</v>
      </c>
      <c r="AN13" s="42">
        <f>'[2]Труд_по старости'!AQ8*2</f>
        <v>3215.64</v>
      </c>
      <c r="AO13" s="33">
        <f>'[2]Труд_по старости'!AR8*2</f>
        <v>3624</v>
      </c>
      <c r="AP13" s="33">
        <f>'[2]Труд_по старости'!AS8*2</f>
        <v>3343.88</v>
      </c>
      <c r="AQ13" s="8">
        <f t="shared" si="17"/>
        <v>4167.599999999999</v>
      </c>
      <c r="AR13">
        <f>1376.1+1000</f>
        <v>2376.1</v>
      </c>
      <c r="AS13">
        <f t="shared" si="18"/>
        <v>6543.699999999999</v>
      </c>
      <c r="AT13" s="8">
        <f t="shared" si="19"/>
        <v>4348.8</v>
      </c>
      <c r="AU13" s="8">
        <f t="shared" si="20"/>
        <v>6724.9</v>
      </c>
      <c r="AV13" s="8">
        <f t="shared" si="21"/>
        <v>4711.2</v>
      </c>
      <c r="AW13" s="8">
        <f t="shared" si="22"/>
        <v>7087.299999999999</v>
      </c>
      <c r="AX13" s="8">
        <f t="shared" si="23"/>
        <v>5073.599999999999</v>
      </c>
      <c r="AY13" s="8">
        <f t="shared" si="24"/>
        <v>7449.699999999999</v>
      </c>
      <c r="AZ13" s="8">
        <f t="shared" si="25"/>
        <v>5436</v>
      </c>
      <c r="BA13" s="8">
        <f t="shared" si="26"/>
        <v>7812.1</v>
      </c>
      <c r="BB13" s="8">
        <f t="shared" si="27"/>
        <v>5798.400000000001</v>
      </c>
      <c r="BC13" s="8">
        <f t="shared" si="28"/>
        <v>8174.5</v>
      </c>
      <c r="BD13" s="8">
        <f t="shared" si="29"/>
        <v>6160.8</v>
      </c>
      <c r="BE13" s="8">
        <f t="shared" si="30"/>
        <v>8536.9</v>
      </c>
      <c r="BF13" s="8">
        <f t="shared" si="31"/>
        <v>6523.2</v>
      </c>
      <c r="BG13" s="8">
        <f t="shared" si="32"/>
        <v>8899.3</v>
      </c>
      <c r="BH13" s="8">
        <f t="shared" si="33"/>
        <v>7248</v>
      </c>
      <c r="BI13" s="8">
        <f t="shared" si="34"/>
        <v>9624.1</v>
      </c>
      <c r="DB13" s="38">
        <f>ROUND(2*'[2]Труд_по старости'!DE8,2)</f>
        <v>3300.12</v>
      </c>
      <c r="DC13" s="33">
        <f>ROUND(2*'[2]Труд_по старости'!DF8,2)</f>
        <v>3900</v>
      </c>
      <c r="DD13" s="78">
        <f>2*'[2]Труд_по старости'!BP8</f>
        <v>3120</v>
      </c>
      <c r="DE13" s="33">
        <f t="shared" si="35"/>
        <v>600</v>
      </c>
      <c r="DF13" s="33">
        <f>2*'[2]Труд_по старости'!BR8</f>
        <v>2904</v>
      </c>
      <c r="DG13" s="38">
        <f t="shared" si="36"/>
        <v>384</v>
      </c>
      <c r="DH13" s="33">
        <f>2*'[2]Труд_по старости'!BT8</f>
        <v>3588</v>
      </c>
      <c r="DI13" s="38">
        <f t="shared" si="37"/>
        <v>468</v>
      </c>
    </row>
    <row r="14" spans="1:113" ht="12.75">
      <c r="A14" s="34" t="s">
        <v>74</v>
      </c>
      <c r="B14" s="34"/>
      <c r="C14" s="42">
        <f>ROUND('[2]Труд_по старости'!B9*2,2)</f>
        <v>1200</v>
      </c>
      <c r="D14" s="42">
        <f>ROUND('[2]Труд_по старости'!C9*2,2)</f>
        <v>1278</v>
      </c>
      <c r="E14" s="42">
        <f>ROUND('[2]Труд_по старости'!D9*2,2)</f>
        <v>1393.02</v>
      </c>
      <c r="F14" s="42">
        <f t="shared" si="0"/>
        <v>83.57999999999993</v>
      </c>
      <c r="G14" s="42">
        <f>ROUND('[2]Труд_по старости'!F9*2,2)</f>
        <v>1476.6</v>
      </c>
      <c r="H14" s="33">
        <f>ROUND('[2]Труд_по старости'!G9*2,2)</f>
        <v>1594.72</v>
      </c>
      <c r="I14" s="42">
        <f t="shared" si="1"/>
        <v>201.70000000000005</v>
      </c>
      <c r="J14" s="42">
        <f>ROUND('[2]Труд_по старости'!I9*2,2)</f>
        <v>1656</v>
      </c>
      <c r="K14" s="34">
        <f t="shared" si="2"/>
        <v>61.27999999999997</v>
      </c>
      <c r="L14" s="42">
        <f>ROUND('[2]Труд_по старости'!K9*2,2)</f>
        <v>1760</v>
      </c>
      <c r="M14" s="33">
        <f t="shared" si="3"/>
        <v>165.27999999999997</v>
      </c>
      <c r="N14" s="33">
        <f>ROUND('[2]Труд_по старости'!M9*2,2)</f>
        <v>2400</v>
      </c>
      <c r="O14" s="33">
        <f t="shared" si="4"/>
        <v>640</v>
      </c>
      <c r="P14" s="72">
        <f>ROUND('[2]Труд_по старости'!O9*2,2)</f>
        <v>2400</v>
      </c>
      <c r="Q14" s="46">
        <f t="shared" si="5"/>
        <v>640</v>
      </c>
      <c r="R14" s="46">
        <f t="shared" si="6"/>
        <v>2760</v>
      </c>
      <c r="S14" s="46">
        <f t="shared" si="7"/>
        <v>3312</v>
      </c>
      <c r="T14" s="46">
        <f t="shared" si="8"/>
        <v>4800</v>
      </c>
      <c r="U14" s="8">
        <f t="shared" si="9"/>
        <v>883</v>
      </c>
      <c r="V14" s="33">
        <f t="shared" si="10"/>
        <v>1280</v>
      </c>
      <c r="W14" s="33">
        <f>ROUND('[2]Труд_по старости'!X9*2,2)</f>
        <v>2544</v>
      </c>
      <c r="X14" s="33">
        <f t="shared" si="11"/>
        <v>2696.6400000000003</v>
      </c>
      <c r="Y14" s="33">
        <f>ROUND('[2]Труд_по старости'!AA9*2,2)</f>
        <v>2760.24</v>
      </c>
      <c r="Z14" s="33">
        <f t="shared" si="12"/>
        <v>152.64000000000033</v>
      </c>
      <c r="AA14" s="33">
        <f t="shared" si="13"/>
        <v>216.23999999999978</v>
      </c>
      <c r="AB14" s="33">
        <f>2*'[2]Труд_по старости'!AD9</f>
        <v>2967.26</v>
      </c>
      <c r="AC14" s="42">
        <f t="shared" si="14"/>
        <v>207.02000000000044</v>
      </c>
      <c r="AD14" s="33">
        <f>2*'[2]Труд_по старости'!AF9</f>
        <v>3360</v>
      </c>
      <c r="AE14" s="42">
        <f t="shared" si="15"/>
        <v>392.7399999999998</v>
      </c>
      <c r="AF14" s="33">
        <f t="shared" si="16"/>
        <v>599.7600000000002</v>
      </c>
      <c r="AG14" s="42">
        <f>ROUND(2*'[2]Труд_по старости'!AI9,2)</f>
        <v>3595.2</v>
      </c>
      <c r="AH14" s="42">
        <f>'[2]Труд_по старости'!AJ9*2</f>
        <v>3544.8</v>
      </c>
      <c r="AI14" s="42">
        <f>ROUND(2*'[2]Труд_по старости'!AK9,2)</f>
        <v>4120</v>
      </c>
      <c r="AJ14" s="42">
        <f>ROUND('[2]Труд_по старости'!AM9*2,2)</f>
        <v>4400.16</v>
      </c>
      <c r="AK14" s="42">
        <f>2*'[2]Труд_по старости'!AN9</f>
        <v>5200</v>
      </c>
      <c r="AL14" s="42">
        <f>ROUND(2*'[2]Труд_по старости'!AO9,2)</f>
        <v>5538</v>
      </c>
      <c r="AM14" s="33">
        <f>'[2]Труд_по старости'!AL9*2</f>
        <v>4064</v>
      </c>
      <c r="AN14" s="42">
        <f>'[2]Труд_по старости'!AQ9*2</f>
        <v>4287.52</v>
      </c>
      <c r="AO14" s="33">
        <f>'[2]Труд_по старости'!AR9*2</f>
        <v>4832</v>
      </c>
      <c r="AP14" s="42">
        <f>'[2]Труд_по старости'!AS9*2</f>
        <v>4458.5</v>
      </c>
      <c r="AQ14" s="8">
        <f t="shared" si="17"/>
        <v>5556.799999999999</v>
      </c>
      <c r="AR14">
        <f>1376.1+1000</f>
        <v>2376.1</v>
      </c>
      <c r="AS14">
        <f t="shared" si="18"/>
        <v>7932.9</v>
      </c>
      <c r="AT14" s="8">
        <f t="shared" si="19"/>
        <v>5798.4</v>
      </c>
      <c r="AU14" s="8">
        <f t="shared" si="20"/>
        <v>8174.5</v>
      </c>
      <c r="AV14" s="8">
        <f t="shared" si="21"/>
        <v>6281.6</v>
      </c>
      <c r="AW14" s="8">
        <f t="shared" si="22"/>
        <v>8657.7</v>
      </c>
      <c r="AX14" s="8">
        <f t="shared" si="23"/>
        <v>6764.799999999999</v>
      </c>
      <c r="AY14" s="8">
        <f t="shared" si="24"/>
        <v>9140.9</v>
      </c>
      <c r="AZ14" s="8">
        <f t="shared" si="25"/>
        <v>7248</v>
      </c>
      <c r="BA14" s="8">
        <f t="shared" si="26"/>
        <v>9624.1</v>
      </c>
      <c r="BB14" s="8">
        <f t="shared" si="27"/>
        <v>7731.200000000001</v>
      </c>
      <c r="BC14" s="8">
        <f t="shared" si="28"/>
        <v>10107.300000000001</v>
      </c>
      <c r="BD14" s="8">
        <f t="shared" si="29"/>
        <v>8214.4</v>
      </c>
      <c r="BE14" s="8">
        <f t="shared" si="30"/>
        <v>10590.5</v>
      </c>
      <c r="BF14" s="8">
        <f t="shared" si="31"/>
        <v>8697.6</v>
      </c>
      <c r="BG14" s="8">
        <f t="shared" si="32"/>
        <v>11073.7</v>
      </c>
      <c r="BH14" s="8">
        <f t="shared" si="33"/>
        <v>9664</v>
      </c>
      <c r="BI14" s="8">
        <f t="shared" si="34"/>
        <v>12040.1</v>
      </c>
      <c r="DB14" s="38">
        <f>ROUND(2*'[2]Труд_по старости'!DE9,2)</f>
        <v>4400.16</v>
      </c>
      <c r="DC14" s="33">
        <f>ROUND(2*'[2]Труд_по старости'!DF9,2)</f>
        <v>5200</v>
      </c>
      <c r="DD14" s="78">
        <f>2*'[2]Труд_по старости'!BP9</f>
        <v>4160</v>
      </c>
      <c r="DE14" s="33">
        <f t="shared" si="35"/>
        <v>800</v>
      </c>
      <c r="DF14" s="33">
        <f>2*'[2]Труд_по старости'!BR9</f>
        <v>3872</v>
      </c>
      <c r="DG14" s="38">
        <f t="shared" si="36"/>
        <v>512</v>
      </c>
      <c r="DH14" s="33">
        <f>2*'[2]Труд_по старости'!BT9</f>
        <v>4784</v>
      </c>
      <c r="DI14" s="38">
        <f t="shared" si="37"/>
        <v>624</v>
      </c>
    </row>
    <row r="15" spans="1:113" ht="12.75">
      <c r="A15" s="34" t="s">
        <v>75</v>
      </c>
      <c r="B15" s="34"/>
      <c r="C15" s="42">
        <f>ROUND('[2]Труд_по старости'!B10*2,2)</f>
        <v>1500</v>
      </c>
      <c r="D15" s="42">
        <f>ROUND('[2]Труд_по старости'!C10*2,2)</f>
        <v>1597.5</v>
      </c>
      <c r="E15" s="42">
        <f>ROUND('[2]Труд_по старости'!D10*2,2)</f>
        <v>1741.28</v>
      </c>
      <c r="F15" s="42">
        <f t="shared" si="0"/>
        <v>104.48000000000002</v>
      </c>
      <c r="G15" s="42">
        <f>ROUND('[2]Труд_по старости'!F10*2,2)</f>
        <v>1845.76</v>
      </c>
      <c r="H15" s="33">
        <f>ROUND('[2]Труд_по старости'!G10*2,2)</f>
        <v>1993.42</v>
      </c>
      <c r="I15" s="42">
        <f t="shared" si="1"/>
        <v>252.1400000000001</v>
      </c>
      <c r="J15" s="42">
        <f>ROUND('[2]Труд_по старости'!I10*2,2)</f>
        <v>2070.02</v>
      </c>
      <c r="K15" s="34">
        <f t="shared" si="2"/>
        <v>76.59999999999991</v>
      </c>
      <c r="L15" s="42">
        <f>ROUND('[2]Труд_по старости'!K10*2,2)</f>
        <v>2200.02</v>
      </c>
      <c r="M15" s="33">
        <f t="shared" si="3"/>
        <v>206.5999999999999</v>
      </c>
      <c r="N15" s="33">
        <f>ROUND('[2]Труд_по старости'!M10*2,2)</f>
        <v>3000.02</v>
      </c>
      <c r="O15" s="33">
        <f t="shared" si="4"/>
        <v>800</v>
      </c>
      <c r="P15" s="72">
        <f>ROUND('[2]Труд_по старости'!O10*2,2)</f>
        <v>3000</v>
      </c>
      <c r="Q15" s="46">
        <f t="shared" si="5"/>
        <v>799.98</v>
      </c>
      <c r="R15" s="46">
        <f t="shared" si="6"/>
        <v>3450</v>
      </c>
      <c r="S15" s="46">
        <f t="shared" si="7"/>
        <v>4140</v>
      </c>
      <c r="T15" s="46">
        <f t="shared" si="8"/>
        <v>6000</v>
      </c>
      <c r="U15" s="8">
        <f t="shared" si="9"/>
        <v>1104</v>
      </c>
      <c r="V15" s="33">
        <f t="shared" si="10"/>
        <v>1600</v>
      </c>
      <c r="W15" s="33">
        <f>ROUND('[2]Труд_по старости'!X10*2,2)</f>
        <v>3180</v>
      </c>
      <c r="X15" s="33">
        <f t="shared" si="11"/>
        <v>3370.8</v>
      </c>
      <c r="Y15" s="42">
        <f>ROUND('[2]Труд_по старости'!AA10*2,2)</f>
        <v>3450.3</v>
      </c>
      <c r="Z15" s="33">
        <f t="shared" si="12"/>
        <v>190.80000000000018</v>
      </c>
      <c r="AA15" s="33">
        <f t="shared" si="13"/>
        <v>270.3000000000002</v>
      </c>
      <c r="AB15" s="33">
        <f>2*'[2]Труд_по старости'!AD10</f>
        <v>3709.08</v>
      </c>
      <c r="AC15" s="42">
        <f t="shared" si="14"/>
        <v>258.77999999999975</v>
      </c>
      <c r="AD15" s="33">
        <f>2*'[2]Труд_по старости'!AF10</f>
        <v>4200</v>
      </c>
      <c r="AE15" s="42">
        <f t="shared" si="15"/>
        <v>490.9200000000001</v>
      </c>
      <c r="AF15" s="42">
        <f t="shared" si="16"/>
        <v>749.6999999999998</v>
      </c>
      <c r="AG15" s="42">
        <f>ROUND(2*'[2]Труд_по старости'!AI10,2)</f>
        <v>4494</v>
      </c>
      <c r="AH15" s="42">
        <f>'[2]Труд_по старости'!AJ10*2</f>
        <v>4431</v>
      </c>
      <c r="AI15" s="42">
        <f>ROUND(2*'[2]Труд_по старости'!AK10,2)</f>
        <v>5150</v>
      </c>
      <c r="AJ15" s="42">
        <f>ROUND('[2]Труд_по старости'!AM10*2,2)</f>
        <v>5500.2</v>
      </c>
      <c r="AK15" s="42">
        <f>2*'[2]Труд_по старости'!AN10</f>
        <v>6500</v>
      </c>
      <c r="AL15" s="42">
        <f>ROUND(2*'[2]Труд_по старости'!AO10,2)</f>
        <v>6922.5</v>
      </c>
      <c r="AM15" s="33">
        <f>'[2]Труд_по старости'!AL10*2</f>
        <v>5080</v>
      </c>
      <c r="AN15" s="42">
        <f>'[2]Труд_по старости'!AQ10*2</f>
        <v>5359.4</v>
      </c>
      <c r="AO15" s="33">
        <f>'[2]Труд_по старости'!AR10*2</f>
        <v>6040</v>
      </c>
      <c r="AP15" s="33">
        <f>'[2]Труд_по старости'!AS10*2</f>
        <v>5573.14</v>
      </c>
      <c r="AQ15" s="8">
        <f t="shared" si="17"/>
        <v>6945.999999999999</v>
      </c>
      <c r="AR15">
        <f>1376.1+1000</f>
        <v>2376.1</v>
      </c>
      <c r="AS15">
        <f t="shared" si="18"/>
        <v>9322.099999999999</v>
      </c>
      <c r="AT15" s="8">
        <f t="shared" si="19"/>
        <v>7248</v>
      </c>
      <c r="AU15" s="8">
        <f t="shared" si="20"/>
        <v>9624.1</v>
      </c>
      <c r="AV15" s="8">
        <f t="shared" si="21"/>
        <v>7852</v>
      </c>
      <c r="AW15" s="8">
        <f t="shared" si="22"/>
        <v>10228.1</v>
      </c>
      <c r="AX15" s="8">
        <f t="shared" si="23"/>
        <v>8456</v>
      </c>
      <c r="AY15" s="8">
        <f t="shared" si="24"/>
        <v>10832.1</v>
      </c>
      <c r="AZ15" s="8">
        <f t="shared" si="25"/>
        <v>9060</v>
      </c>
      <c r="BA15" s="8">
        <f t="shared" si="26"/>
        <v>11436.1</v>
      </c>
      <c r="BB15" s="8">
        <f t="shared" si="27"/>
        <v>9664</v>
      </c>
      <c r="BC15" s="8">
        <f t="shared" si="28"/>
        <v>12040.1</v>
      </c>
      <c r="BD15" s="8">
        <f t="shared" si="29"/>
        <v>10268</v>
      </c>
      <c r="BE15" s="8">
        <f t="shared" si="30"/>
        <v>12644.1</v>
      </c>
      <c r="BF15" s="8">
        <f t="shared" si="31"/>
        <v>10872</v>
      </c>
      <c r="BG15" s="8">
        <f t="shared" si="32"/>
        <v>13248.1</v>
      </c>
      <c r="BH15" s="8">
        <f t="shared" si="33"/>
        <v>12080</v>
      </c>
      <c r="BI15" s="8">
        <f t="shared" si="34"/>
        <v>14456.1</v>
      </c>
      <c r="DB15" s="38">
        <f>ROUND(2*'[2]Труд_по старости'!DE10,2)</f>
        <v>5500.2</v>
      </c>
      <c r="DC15" s="33">
        <f>ROUND(2*'[2]Труд_по старости'!DF10,2)</f>
        <v>6500</v>
      </c>
      <c r="DD15" s="78">
        <f>2*'[2]Труд_по старости'!BP10</f>
        <v>5200</v>
      </c>
      <c r="DE15" s="33">
        <f t="shared" si="35"/>
        <v>1000</v>
      </c>
      <c r="DF15" s="33">
        <f>2*'[2]Труд_по старости'!BR10</f>
        <v>4840</v>
      </c>
      <c r="DG15" s="38">
        <f t="shared" si="36"/>
        <v>640</v>
      </c>
      <c r="DH15" s="33">
        <f>2*'[2]Труд_по старости'!BT10</f>
        <v>5980</v>
      </c>
      <c r="DI15" s="38">
        <f t="shared" si="37"/>
        <v>780</v>
      </c>
    </row>
    <row r="16" spans="1:113" ht="12.75">
      <c r="A16" s="34" t="s">
        <v>76</v>
      </c>
      <c r="B16" s="34"/>
      <c r="C16" s="42">
        <f>ROUND('[2]Труд_по старости'!B11*2,2)</f>
        <v>1800</v>
      </c>
      <c r="D16" s="42">
        <f>ROUND('[2]Труд_по старости'!C11*2,2)</f>
        <v>1917</v>
      </c>
      <c r="E16" s="42">
        <f>ROUND('[2]Труд_по старости'!D11*2,2)</f>
        <v>2089.54</v>
      </c>
      <c r="F16" s="42">
        <f t="shared" si="0"/>
        <v>125.38000000000011</v>
      </c>
      <c r="G16" s="42">
        <f>ROUND('[2]Труд_по старости'!F11*2,2)</f>
        <v>2214.92</v>
      </c>
      <c r="H16" s="33">
        <f>ROUND('[2]Труд_по старости'!G11*2,2)</f>
        <v>2392.12</v>
      </c>
      <c r="I16" s="42">
        <f t="shared" si="1"/>
        <v>302.5799999999999</v>
      </c>
      <c r="J16" s="42">
        <f>ROUND('[2]Труд_по старости'!I11*2,2)</f>
        <v>2484.04</v>
      </c>
      <c r="K16" s="34">
        <f t="shared" si="2"/>
        <v>91.92000000000007</v>
      </c>
      <c r="L16" s="42">
        <f>ROUND('[2]Труд_по старости'!K11*2,2)</f>
        <v>2640.04</v>
      </c>
      <c r="M16" s="33">
        <f t="shared" si="3"/>
        <v>247.92000000000007</v>
      </c>
      <c r="N16" s="33">
        <f>ROUND('[2]Труд_по старости'!M11*2,2)</f>
        <v>3600.06</v>
      </c>
      <c r="O16" s="33">
        <f t="shared" si="4"/>
        <v>960.02</v>
      </c>
      <c r="P16" s="72">
        <f>ROUND('[2]Труд_по старости'!O11*2,2)</f>
        <v>3600</v>
      </c>
      <c r="Q16" s="46">
        <f t="shared" si="5"/>
        <v>959.96</v>
      </c>
      <c r="R16" s="46">
        <f t="shared" si="6"/>
        <v>4140</v>
      </c>
      <c r="S16" s="46">
        <f t="shared" si="7"/>
        <v>4968</v>
      </c>
      <c r="T16" s="46">
        <f t="shared" si="8"/>
        <v>7200</v>
      </c>
      <c r="U16" s="8">
        <f t="shared" si="9"/>
        <v>1325</v>
      </c>
      <c r="V16" s="33">
        <f t="shared" si="10"/>
        <v>1920</v>
      </c>
      <c r="W16" s="33">
        <f>ROUND('[2]Труд_по старости'!X11*2,2)</f>
        <v>3816</v>
      </c>
      <c r="X16" s="33">
        <f t="shared" si="11"/>
        <v>4044.96</v>
      </c>
      <c r="Y16" s="33">
        <f>ROUND('[2]Труд_по старости'!AA11*2,2)</f>
        <v>4140.36</v>
      </c>
      <c r="Z16" s="33">
        <f t="shared" si="12"/>
        <v>228.96000000000004</v>
      </c>
      <c r="AA16" s="33">
        <f t="shared" si="13"/>
        <v>324.3599999999997</v>
      </c>
      <c r="AB16" s="33">
        <f>2*'[2]Труд_по старости'!AD11</f>
        <v>4450.88</v>
      </c>
      <c r="AC16" s="42">
        <f t="shared" si="14"/>
        <v>310.52000000000044</v>
      </c>
      <c r="AD16" s="33">
        <f>2*'[2]Труд_по старости'!AF11</f>
        <v>5040</v>
      </c>
      <c r="AE16" s="42">
        <f t="shared" si="15"/>
        <v>589.1199999999999</v>
      </c>
      <c r="AF16" s="33">
        <f t="shared" si="16"/>
        <v>899.6400000000003</v>
      </c>
      <c r="AG16" s="42">
        <f>ROUND(2*'[2]Труд_по старости'!AI11,2)</f>
        <v>5392.8</v>
      </c>
      <c r="AH16" s="42">
        <f>'[2]Труд_по старости'!AJ11*2</f>
        <v>5317.2</v>
      </c>
      <c r="AI16" s="42">
        <f>ROUND(2*'[2]Труд_по старости'!AK11,2)</f>
        <v>6180</v>
      </c>
      <c r="AJ16" s="42">
        <f>ROUND('[2]Труд_по старости'!AM11*2,2)</f>
        <v>6600.24</v>
      </c>
      <c r="AK16" s="42">
        <f>2*'[2]Труд_по старости'!AN11</f>
        <v>7800</v>
      </c>
      <c r="AL16" s="42">
        <f>ROUND(2*'[2]Труд_по старости'!AO11,2)</f>
        <v>8307</v>
      </c>
      <c r="AM16" s="33">
        <f>'[2]Труд_по старости'!AL11*2</f>
        <v>6096</v>
      </c>
      <c r="AN16" s="42">
        <f>'[2]Труд_по старости'!AQ11*2</f>
        <v>6431.28</v>
      </c>
      <c r="AO16" s="33">
        <f>'[2]Труд_по старости'!AR11*2</f>
        <v>7248</v>
      </c>
      <c r="AP16" s="33">
        <f>'[2]Труд_по старости'!AS11*2</f>
        <v>6687.76</v>
      </c>
      <c r="AQ16" s="8">
        <f t="shared" si="17"/>
        <v>8335.199999999999</v>
      </c>
      <c r="AR16">
        <f>1376.1+1000</f>
        <v>2376.1</v>
      </c>
      <c r="AS16">
        <f t="shared" si="18"/>
        <v>10711.3</v>
      </c>
      <c r="AT16" s="8">
        <f t="shared" si="19"/>
        <v>8697.6</v>
      </c>
      <c r="AU16" s="8">
        <f t="shared" si="20"/>
        <v>11073.7</v>
      </c>
      <c r="AV16" s="8">
        <f t="shared" si="21"/>
        <v>9422.4</v>
      </c>
      <c r="AW16" s="8">
        <f t="shared" si="22"/>
        <v>11798.5</v>
      </c>
      <c r="AX16" s="8">
        <f t="shared" si="23"/>
        <v>10147.199999999999</v>
      </c>
      <c r="AY16" s="8">
        <f t="shared" si="24"/>
        <v>12523.3</v>
      </c>
      <c r="AZ16" s="8">
        <f t="shared" si="25"/>
        <v>10872</v>
      </c>
      <c r="BA16" s="8">
        <f t="shared" si="26"/>
        <v>13248.1</v>
      </c>
      <c r="BB16" s="8">
        <f t="shared" si="27"/>
        <v>11596.800000000001</v>
      </c>
      <c r="BC16" s="8">
        <f t="shared" si="28"/>
        <v>13972.900000000001</v>
      </c>
      <c r="BD16" s="8">
        <f t="shared" si="29"/>
        <v>12321.6</v>
      </c>
      <c r="BE16" s="8">
        <f t="shared" si="30"/>
        <v>14697.7</v>
      </c>
      <c r="BF16" s="8">
        <f t="shared" si="31"/>
        <v>13046.4</v>
      </c>
      <c r="BG16" s="8">
        <f t="shared" si="32"/>
        <v>15422.5</v>
      </c>
      <c r="BH16" s="8">
        <f t="shared" si="33"/>
        <v>14496</v>
      </c>
      <c r="BI16" s="8">
        <f t="shared" si="34"/>
        <v>16872.1</v>
      </c>
      <c r="DB16" s="38">
        <f>ROUND(2*'[2]Труд_по старости'!DE11,2)</f>
        <v>6600.24</v>
      </c>
      <c r="DC16" s="33">
        <f>ROUND(2*'[2]Труд_по старости'!DF11,2)</f>
        <v>7800</v>
      </c>
      <c r="DD16" s="78">
        <f>2*'[2]Труд_по старости'!BP11</f>
        <v>6240</v>
      </c>
      <c r="DE16" s="33">
        <f t="shared" si="35"/>
        <v>1200</v>
      </c>
      <c r="DF16" s="33">
        <f>2*'[2]Труд_по старости'!BR11</f>
        <v>5808</v>
      </c>
      <c r="DG16" s="38">
        <f t="shared" si="36"/>
        <v>768</v>
      </c>
      <c r="DH16" s="33">
        <f>2*'[2]Труд_по старости'!BT11</f>
        <v>7176</v>
      </c>
      <c r="DI16" s="38">
        <f t="shared" si="37"/>
        <v>936</v>
      </c>
    </row>
    <row r="17" spans="1:113" ht="24.75" customHeight="1">
      <c r="A17" s="117" t="s">
        <v>109</v>
      </c>
      <c r="B17" s="32" t="s">
        <v>107</v>
      </c>
      <c r="C17" s="42">
        <f>ROUND('[2]Труд_по старости'!B8*1.5,2)</f>
        <v>675</v>
      </c>
      <c r="D17" s="42">
        <f>ROUND('[2]Труд_по старости'!C8*1.5,2)</f>
        <v>718.88</v>
      </c>
      <c r="E17" s="42">
        <f>ROUND('[2]Труд_по старости'!D8*1.5,2)</f>
        <v>783.57</v>
      </c>
      <c r="F17" s="42">
        <f t="shared" si="0"/>
        <v>47.00999999999999</v>
      </c>
      <c r="G17" s="42">
        <f>ROUND('[2]Труд_по старости'!F8*1.5,2)</f>
        <v>830.58</v>
      </c>
      <c r="H17" s="33">
        <f>ROUND('[2]Труд_по старости'!G8*1.5,2)</f>
        <v>897.03</v>
      </c>
      <c r="I17" s="42">
        <f t="shared" si="1"/>
        <v>113.45999999999992</v>
      </c>
      <c r="J17" s="42">
        <f>ROUND(621*1.5,2)</f>
        <v>931.5</v>
      </c>
      <c r="K17" s="34">
        <f t="shared" si="2"/>
        <v>34.47000000000003</v>
      </c>
      <c r="L17" s="42">
        <f>ROUND(660*1.5,2)</f>
        <v>990</v>
      </c>
      <c r="M17" s="33">
        <f t="shared" si="3"/>
        <v>92.97000000000003</v>
      </c>
      <c r="N17" s="33">
        <f>ROUND('[2]Труд_по старости'!M8*1.5,2)</f>
        <v>1350</v>
      </c>
      <c r="O17" s="33">
        <f t="shared" si="4"/>
        <v>360</v>
      </c>
      <c r="P17" s="115">
        <f>ROUND('[2]Труд_по старости'!O8*1.5,2)</f>
        <v>1350</v>
      </c>
      <c r="Q17" s="48">
        <f t="shared" si="5"/>
        <v>360</v>
      </c>
      <c r="R17" s="48">
        <f t="shared" si="6"/>
        <v>1552.5</v>
      </c>
      <c r="S17" s="48">
        <f t="shared" si="7"/>
        <v>1863</v>
      </c>
      <c r="T17" s="48">
        <f t="shared" si="8"/>
        <v>2700</v>
      </c>
      <c r="U17" s="8">
        <f t="shared" si="9"/>
        <v>497</v>
      </c>
      <c r="V17" s="33">
        <f t="shared" si="10"/>
        <v>720</v>
      </c>
      <c r="W17" s="33">
        <f>ROUND('[2]Труд_по старости'!X8*1.5,2)</f>
        <v>1431</v>
      </c>
      <c r="X17" s="33">
        <f t="shared" si="11"/>
        <v>1516.8600000000001</v>
      </c>
      <c r="Y17" s="33">
        <f>ROUND('[2]Труд_по старости'!AA8*1.5,2)</f>
        <v>1552.64</v>
      </c>
      <c r="Z17" s="33">
        <f t="shared" si="12"/>
        <v>85.86000000000013</v>
      </c>
      <c r="AA17" s="33">
        <f t="shared" si="13"/>
        <v>121.6400000000001</v>
      </c>
      <c r="AB17" s="59">
        <f>1.5*'[2]Труд_по старости'!AD8</f>
        <v>1669.08</v>
      </c>
      <c r="AC17" s="54">
        <f t="shared" si="14"/>
        <v>116.43999999999983</v>
      </c>
      <c r="AD17" s="59">
        <f>1.5*'[2]Труд_по старости'!AF8</f>
        <v>1890</v>
      </c>
      <c r="AE17" s="54">
        <f t="shared" si="15"/>
        <v>220.92000000000007</v>
      </c>
      <c r="AF17" s="59">
        <f t="shared" si="16"/>
        <v>337.3599999999999</v>
      </c>
      <c r="AG17" s="59">
        <f>ROUND(1.5*'[2]Труд_по старости'!AI8,2)</f>
        <v>2022.3</v>
      </c>
      <c r="AH17" s="59">
        <f>1.5*'[2]Труд_по старости'!AJ8</f>
        <v>1993.9499999999998</v>
      </c>
      <c r="AI17" s="59">
        <f>ROUND(1.5*'[2]Труд_по старости'!AK8,2)</f>
        <v>2317.5</v>
      </c>
      <c r="AJ17" s="59">
        <f>ROUND(1.5*'[2]Труд_по старости'!AM8,2)</f>
        <v>2475.09</v>
      </c>
      <c r="AK17" s="59">
        <f>1.5*'[2]Труд_по старости'!AN8</f>
        <v>2925</v>
      </c>
      <c r="AL17" s="59">
        <f>ROUND(1.5*'[2]Труд_по старости'!AO8,2)</f>
        <v>3115.13</v>
      </c>
      <c r="AM17" s="59">
        <f>1.5*'[2]Труд_по старости'!AL8</f>
        <v>2286</v>
      </c>
      <c r="AN17" s="59">
        <f>1.5*'[2]Труд_по старости'!AQ8</f>
        <v>2411.73</v>
      </c>
      <c r="AO17" s="59">
        <f>1.5*'[2]Труд_по старости'!AR8</f>
        <v>2718</v>
      </c>
      <c r="AP17" s="59">
        <f>1.5*'[2]Труд_по старости'!AS8</f>
        <v>2507.91</v>
      </c>
      <c r="AQ17" s="135">
        <f t="shared" si="17"/>
        <v>3125.7</v>
      </c>
      <c r="AR17" s="5">
        <f>1100.88+1000</f>
        <v>2100.88</v>
      </c>
      <c r="AS17" s="135">
        <f t="shared" si="18"/>
        <v>5226.58</v>
      </c>
      <c r="AT17" s="135">
        <f t="shared" si="19"/>
        <v>3261.6</v>
      </c>
      <c r="AU17" s="135">
        <f t="shared" si="20"/>
        <v>5362.48</v>
      </c>
      <c r="AV17" s="135">
        <f t="shared" si="21"/>
        <v>3533.4</v>
      </c>
      <c r="AW17" s="135">
        <f t="shared" si="22"/>
        <v>5634.280000000001</v>
      </c>
      <c r="AX17" s="135">
        <f t="shared" si="23"/>
        <v>3805.2</v>
      </c>
      <c r="AY17" s="135">
        <f t="shared" si="24"/>
        <v>5906.08</v>
      </c>
      <c r="AZ17" s="135">
        <f t="shared" si="25"/>
        <v>4077</v>
      </c>
      <c r="BA17" s="135">
        <f t="shared" si="26"/>
        <v>6177.88</v>
      </c>
      <c r="BB17" s="135">
        <f t="shared" si="27"/>
        <v>4348.8</v>
      </c>
      <c r="BC17" s="135">
        <f t="shared" si="28"/>
        <v>6449.68</v>
      </c>
      <c r="BD17" s="135">
        <f t="shared" si="29"/>
        <v>4620.599999999999</v>
      </c>
      <c r="BE17" s="135">
        <f t="shared" si="30"/>
        <v>6721.48</v>
      </c>
      <c r="BF17" s="135">
        <f t="shared" si="31"/>
        <v>4892.400000000001</v>
      </c>
      <c r="BG17" s="135">
        <f t="shared" si="32"/>
        <v>6993.280000000001</v>
      </c>
      <c r="BH17" s="135">
        <f t="shared" si="33"/>
        <v>5436</v>
      </c>
      <c r="BI17" s="135">
        <f t="shared" si="34"/>
        <v>7536.88</v>
      </c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60">
        <f>ROUND(1.5*'[2]Труд_по старости'!DE8,2)</f>
        <v>2475.09</v>
      </c>
      <c r="DC17" s="59">
        <f>ROUND(1.5*'[2]Труд_по старости'!DF8,2)</f>
        <v>2925</v>
      </c>
      <c r="DD17" s="61">
        <f>1.5*1560</f>
        <v>2340</v>
      </c>
      <c r="DE17" s="59">
        <f t="shared" si="35"/>
        <v>450</v>
      </c>
      <c r="DF17" s="33">
        <f>1.5*1452</f>
        <v>2178</v>
      </c>
      <c r="DG17" s="38">
        <f t="shared" si="36"/>
        <v>288</v>
      </c>
      <c r="DH17" s="59">
        <f>1.5*'[2]Труд_по старости'!BT8</f>
        <v>2691</v>
      </c>
      <c r="DI17" s="60">
        <f t="shared" si="37"/>
        <v>351</v>
      </c>
    </row>
    <row r="18" spans="1:113" ht="20.25" customHeight="1">
      <c r="A18" s="166" t="s">
        <v>113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8"/>
      <c r="L18" s="54"/>
      <c r="M18" s="59">
        <f t="shared" si="3"/>
        <v>0</v>
      </c>
      <c r="N18" s="59">
        <f>ROUND(L18*N$5,2)</f>
        <v>0</v>
      </c>
      <c r="O18" s="59">
        <f t="shared" si="4"/>
        <v>0</v>
      </c>
      <c r="P18" s="136"/>
      <c r="Q18" s="137">
        <f t="shared" si="5"/>
        <v>0</v>
      </c>
      <c r="R18" s="137">
        <f t="shared" si="6"/>
        <v>0</v>
      </c>
      <c r="S18" s="137">
        <f t="shared" si="7"/>
        <v>0</v>
      </c>
      <c r="T18" s="137">
        <f t="shared" si="8"/>
        <v>0</v>
      </c>
      <c r="U18" s="135">
        <f t="shared" si="9"/>
        <v>0</v>
      </c>
      <c r="V18" s="59">
        <f t="shared" si="10"/>
        <v>0</v>
      </c>
      <c r="W18" s="59"/>
      <c r="X18" s="59">
        <f t="shared" si="11"/>
        <v>0</v>
      </c>
      <c r="Y18" s="59">
        <f>ROUND(W18*1.085,2)</f>
        <v>0</v>
      </c>
      <c r="Z18" s="33">
        <f t="shared" si="12"/>
        <v>0</v>
      </c>
      <c r="AA18" s="33">
        <f t="shared" si="13"/>
        <v>0</v>
      </c>
      <c r="AB18" s="59"/>
      <c r="AC18" s="54">
        <f t="shared" si="14"/>
        <v>0</v>
      </c>
      <c r="AD18" s="59"/>
      <c r="AE18" s="54">
        <f t="shared" si="15"/>
        <v>0</v>
      </c>
      <c r="AF18" s="59">
        <f t="shared" si="16"/>
        <v>0</v>
      </c>
      <c r="AG18" s="59"/>
      <c r="AH18" s="53"/>
      <c r="AI18" s="53"/>
      <c r="AJ18" s="53"/>
      <c r="AK18" s="53"/>
      <c r="AL18" s="53"/>
      <c r="AM18" s="53"/>
      <c r="AN18" s="53"/>
      <c r="AO18" s="53"/>
      <c r="AP18" s="53"/>
      <c r="AQ18" s="8">
        <f t="shared" si="17"/>
        <v>0</v>
      </c>
      <c r="AS18" s="8">
        <f t="shared" si="18"/>
        <v>0</v>
      </c>
      <c r="AT18" s="8">
        <f t="shared" si="19"/>
        <v>0</v>
      </c>
      <c r="AU18" s="8">
        <f t="shared" si="20"/>
        <v>0</v>
      </c>
      <c r="AV18" s="8">
        <f t="shared" si="21"/>
        <v>0</v>
      </c>
      <c r="AW18" s="8">
        <f t="shared" si="22"/>
        <v>0</v>
      </c>
      <c r="AX18" s="8">
        <f t="shared" si="23"/>
        <v>0</v>
      </c>
      <c r="AY18" s="8">
        <f t="shared" si="24"/>
        <v>0</v>
      </c>
      <c r="AZ18" s="8">
        <f t="shared" si="25"/>
        <v>0</v>
      </c>
      <c r="BA18" s="8">
        <f t="shared" si="26"/>
        <v>0</v>
      </c>
      <c r="BB18" s="8">
        <f t="shared" si="27"/>
        <v>0</v>
      </c>
      <c r="BC18" s="8">
        <f t="shared" si="28"/>
        <v>0</v>
      </c>
      <c r="BD18" s="8">
        <f t="shared" si="29"/>
        <v>0</v>
      </c>
      <c r="BE18" s="8">
        <f t="shared" si="30"/>
        <v>0</v>
      </c>
      <c r="BF18" s="8">
        <f t="shared" si="31"/>
        <v>0</v>
      </c>
      <c r="BG18" s="8">
        <f t="shared" si="32"/>
        <v>0</v>
      </c>
      <c r="BH18" s="8">
        <f t="shared" si="33"/>
        <v>0</v>
      </c>
      <c r="BI18" s="8">
        <f t="shared" si="34"/>
        <v>0</v>
      </c>
      <c r="DB18" s="35"/>
      <c r="DC18" s="34"/>
      <c r="DD18" s="138"/>
      <c r="DE18" s="96">
        <f t="shared" si="35"/>
        <v>0</v>
      </c>
      <c r="DF18" s="96"/>
      <c r="DG18" s="96">
        <f t="shared" si="36"/>
        <v>0</v>
      </c>
      <c r="DH18" s="114"/>
      <c r="DI18" s="139">
        <f t="shared" si="37"/>
        <v>0</v>
      </c>
    </row>
    <row r="19" spans="1:113" ht="15.75" customHeight="1">
      <c r="A19" s="140" t="s">
        <v>114</v>
      </c>
      <c r="B19" s="114" t="s">
        <v>115</v>
      </c>
      <c r="C19" s="141">
        <f>ROUND('[2]Труд_по инв(потере корм)'!B$8,2)</f>
        <v>900</v>
      </c>
      <c r="D19" s="141">
        <f>ROUND('[2]Труд_по инв(потере корм)'!C$8,2)</f>
        <v>958.5</v>
      </c>
      <c r="E19" s="141">
        <f>ROUND('[2]Труд_по инв(потере корм)'!D$8,2)</f>
        <v>1044.77</v>
      </c>
      <c r="F19" s="141">
        <f>G19-E19</f>
        <v>62.690000000000055</v>
      </c>
      <c r="G19" s="141">
        <f>ROUND('[2]Труд_по инв(потере корм)'!F$8,2)</f>
        <v>1107.46</v>
      </c>
      <c r="H19" s="141">
        <f>ROUND('[2]Труд_по инв(потере корм)'!G8,2)</f>
        <v>1196.06</v>
      </c>
      <c r="I19" s="141">
        <f>H19-E19</f>
        <v>151.28999999999996</v>
      </c>
      <c r="J19" s="141">
        <f>ROUND('[2]Труд_по инв(потере корм)'!I8,2)</f>
        <v>1242.02</v>
      </c>
      <c r="K19" s="114">
        <f>J19-H19</f>
        <v>45.960000000000036</v>
      </c>
      <c r="L19" s="141">
        <f>ROUND('[2]Труд_по инв(потере корм)'!K8,2)</f>
        <v>1320.02</v>
      </c>
      <c r="M19" s="96">
        <f t="shared" si="3"/>
        <v>123.96000000000004</v>
      </c>
      <c r="N19" s="96">
        <f>'[2]Труд_по инв(потере корм)'!M8</f>
        <v>1800.03</v>
      </c>
      <c r="O19" s="96">
        <f t="shared" si="4"/>
        <v>480.01</v>
      </c>
      <c r="P19" s="142">
        <f>ROUND('[2]Труд_по инв(потере корм)'!O8,2)</f>
        <v>1800</v>
      </c>
      <c r="Q19" s="143">
        <f t="shared" si="5"/>
        <v>479.98</v>
      </c>
      <c r="R19" s="143">
        <f t="shared" si="6"/>
        <v>2070</v>
      </c>
      <c r="S19" s="143">
        <f t="shared" si="7"/>
        <v>2484</v>
      </c>
      <c r="T19" s="143">
        <f t="shared" si="8"/>
        <v>3600</v>
      </c>
      <c r="U19" s="144">
        <f t="shared" si="9"/>
        <v>662</v>
      </c>
      <c r="V19" s="96">
        <f t="shared" si="10"/>
        <v>960</v>
      </c>
      <c r="W19" s="96">
        <f>'[2]Труд_по инв(потере корм)'!W8</f>
        <v>1908</v>
      </c>
      <c r="X19" s="96">
        <f>ROUND(W19*X$5,2)</f>
        <v>2022.48</v>
      </c>
      <c r="Y19" s="141">
        <f>'[2]Труд_по инв(потере корм)'!AB8</f>
        <v>2070.18</v>
      </c>
      <c r="Z19" s="96">
        <f t="shared" si="12"/>
        <v>114.48000000000002</v>
      </c>
      <c r="AA19" s="96">
        <f t="shared" si="13"/>
        <v>162.17999999999984</v>
      </c>
      <c r="AB19" s="96">
        <f>'[2]Труд_по инв(потере корм)'!AE8</f>
        <v>2225.44</v>
      </c>
      <c r="AC19" s="141">
        <f t="shared" si="14"/>
        <v>155.26000000000022</v>
      </c>
      <c r="AD19" s="96">
        <f>'[2]Труд_по инв(потере корм)'!AG8</f>
        <v>2520</v>
      </c>
      <c r="AE19" s="141">
        <f t="shared" si="15"/>
        <v>294.55999999999995</v>
      </c>
      <c r="AF19" s="96">
        <f t="shared" si="16"/>
        <v>449.82000000000016</v>
      </c>
      <c r="AG19" s="141">
        <f>ROUND('[2]Труд_по инв(потере корм)'!AJ8,2)</f>
        <v>2696.4</v>
      </c>
      <c r="AH19" s="141">
        <f>'[2]Труд_по инв(потере корм)'!AK8</f>
        <v>2658.6</v>
      </c>
      <c r="AI19" s="141">
        <f>'[2]Труд_по инв(потере корм)'!AL8</f>
        <v>3090</v>
      </c>
      <c r="AJ19" s="141">
        <f>AJ13</f>
        <v>3300.12</v>
      </c>
      <c r="AK19" s="141">
        <f>AK13</f>
        <v>3900</v>
      </c>
      <c r="AL19" s="141">
        <f>AL13</f>
        <v>4153.5</v>
      </c>
      <c r="AM19" s="96">
        <f>'[2]Труд_по инв(потере корм)'!AM8</f>
        <v>3048</v>
      </c>
      <c r="AN19" s="96">
        <f>'[2]Труд_по инв(потере корм)'!AN8</f>
        <v>3215.64</v>
      </c>
      <c r="AO19" s="96">
        <f>'[2]Труд_по инв(потере корм)'!AO8</f>
        <v>3624</v>
      </c>
      <c r="AP19" s="96">
        <f>'[2]Труд_по инв(потере корм)'!AP8</f>
        <v>3343.88</v>
      </c>
      <c r="AQ19" s="8">
        <f t="shared" si="17"/>
        <v>4167.599999999999</v>
      </c>
      <c r="AR19">
        <f>1926.53</f>
        <v>1926.53</v>
      </c>
      <c r="AS19" s="8">
        <f t="shared" si="18"/>
        <v>6094.129999999999</v>
      </c>
      <c r="AT19" s="8">
        <f t="shared" si="19"/>
        <v>4348.8</v>
      </c>
      <c r="AU19" s="8">
        <f t="shared" si="20"/>
        <v>6275.33</v>
      </c>
      <c r="AV19" s="8">
        <f t="shared" si="21"/>
        <v>4711.2</v>
      </c>
      <c r="AW19" s="8">
        <f t="shared" si="22"/>
        <v>6637.73</v>
      </c>
      <c r="AX19" s="8">
        <f t="shared" si="23"/>
        <v>5073.599999999999</v>
      </c>
      <c r="AY19" s="8">
        <f t="shared" si="24"/>
        <v>7000.129999999999</v>
      </c>
      <c r="AZ19" s="8">
        <f t="shared" si="25"/>
        <v>5436</v>
      </c>
      <c r="BA19" s="8">
        <f t="shared" si="26"/>
        <v>7362.53</v>
      </c>
      <c r="BB19" s="8">
        <f t="shared" si="27"/>
        <v>5798.400000000001</v>
      </c>
      <c r="BC19" s="8">
        <f t="shared" si="28"/>
        <v>7724.93</v>
      </c>
      <c r="BD19" s="8">
        <f t="shared" si="29"/>
        <v>6160.8</v>
      </c>
      <c r="BE19" s="8">
        <f t="shared" si="30"/>
        <v>8087.33</v>
      </c>
      <c r="BF19" s="8">
        <f t="shared" si="31"/>
        <v>6523.2</v>
      </c>
      <c r="BG19" s="8">
        <f t="shared" si="32"/>
        <v>8449.73</v>
      </c>
      <c r="BH19" s="8">
        <f t="shared" si="33"/>
        <v>7248</v>
      </c>
      <c r="BI19" s="8">
        <f t="shared" si="34"/>
        <v>9174.53</v>
      </c>
      <c r="DB19" s="96">
        <f>ROUND('[2]Труд_по инв(потере корм)'!BL8,2)</f>
        <v>3300.12</v>
      </c>
      <c r="DC19" s="96">
        <f>ROUND('[2]Труд_по инв(потере корм)'!BM8,2)</f>
        <v>3900</v>
      </c>
      <c r="DD19" s="96">
        <f>'[2]Труд_по инв(потере корм)'!BO8</f>
        <v>3120</v>
      </c>
      <c r="DE19" s="96">
        <f t="shared" si="35"/>
        <v>600</v>
      </c>
      <c r="DF19" s="96">
        <f>'[2]Труд_по инв(потере корм)'!BQ8</f>
        <v>2904</v>
      </c>
      <c r="DG19" s="96">
        <f t="shared" si="36"/>
        <v>384</v>
      </c>
      <c r="DH19" s="96">
        <f>'[2]Труд_по инв(потере корм)'!BS8</f>
        <v>3588</v>
      </c>
      <c r="DI19" s="96">
        <f t="shared" si="37"/>
        <v>468</v>
      </c>
    </row>
    <row r="20" spans="1:113" ht="24.75" customHeight="1">
      <c r="A20" s="114" t="s">
        <v>116</v>
      </c>
      <c r="B20" s="145" t="s">
        <v>117</v>
      </c>
      <c r="C20" s="141">
        <f>IF('[2]Труд_по старости'!B$8&lt;470,470,'[2]Труд_по старости'!B$8)</f>
        <v>470</v>
      </c>
      <c r="D20" s="141">
        <f>'[2]Труд_по старости'!C$8</f>
        <v>479.25</v>
      </c>
      <c r="E20" s="141">
        <f>'[2]Труд_по старости'!D$8</f>
        <v>522.38</v>
      </c>
      <c r="F20" s="141">
        <f>G20-E20</f>
        <v>31.340000000000032</v>
      </c>
      <c r="G20" s="141">
        <f>'[2]Труд_по старости'!F$8</f>
        <v>553.72</v>
      </c>
      <c r="H20" s="96">
        <f>ROUND(G20*1.08,2)</f>
        <v>598.02</v>
      </c>
      <c r="I20" s="141">
        <f>H20-E20</f>
        <v>75.63999999999999</v>
      </c>
      <c r="J20" s="141">
        <f>ROUND(H20*J$5,2)</f>
        <v>621</v>
      </c>
      <c r="K20" s="114">
        <f>J20-H20</f>
        <v>22.980000000000018</v>
      </c>
      <c r="L20" s="141">
        <v>660</v>
      </c>
      <c r="M20" s="96">
        <f t="shared" si="3"/>
        <v>61.98000000000002</v>
      </c>
      <c r="N20" s="141">
        <f>'[2]Труд_по старости'!M8</f>
        <v>900</v>
      </c>
      <c r="O20" s="96">
        <f t="shared" si="4"/>
        <v>240</v>
      </c>
      <c r="P20" s="142">
        <f>'[2]Труд_по старости'!O8</f>
        <v>900</v>
      </c>
      <c r="Q20" s="143">
        <f t="shared" si="5"/>
        <v>240</v>
      </c>
      <c r="R20" s="143">
        <f t="shared" si="6"/>
        <v>1035</v>
      </c>
      <c r="S20" s="143">
        <f t="shared" si="7"/>
        <v>1242</v>
      </c>
      <c r="T20" s="143">
        <f t="shared" si="8"/>
        <v>1800</v>
      </c>
      <c r="U20" s="144">
        <f t="shared" si="9"/>
        <v>331</v>
      </c>
      <c r="V20" s="96">
        <f t="shared" si="10"/>
        <v>480</v>
      </c>
      <c r="W20" s="96">
        <f>'[2]Труд_по старости'!X8</f>
        <v>954</v>
      </c>
      <c r="X20" s="96">
        <f>ROUND(W20*X$5,2)</f>
        <v>1011.24</v>
      </c>
      <c r="Y20" s="96">
        <f>'[2]Труд_по старости'!AA8</f>
        <v>1035.09</v>
      </c>
      <c r="Z20" s="96">
        <f t="shared" si="12"/>
        <v>57.24000000000001</v>
      </c>
      <c r="AA20" s="96">
        <f t="shared" si="13"/>
        <v>81.08999999999992</v>
      </c>
      <c r="AB20" s="96">
        <f>'[2]Труд_по старости'!AD8</f>
        <v>1112.72</v>
      </c>
      <c r="AC20" s="141">
        <f t="shared" si="14"/>
        <v>77.63000000000011</v>
      </c>
      <c r="AD20" s="96">
        <f>'[2]Труд_по старости'!AF8</f>
        <v>1260</v>
      </c>
      <c r="AE20" s="141">
        <f t="shared" si="15"/>
        <v>147.27999999999997</v>
      </c>
      <c r="AF20" s="96">
        <f t="shared" si="16"/>
        <v>224.91000000000008</v>
      </c>
      <c r="AG20" s="96">
        <f>'[2]Труд_по старости'!AI8</f>
        <v>1348.2</v>
      </c>
      <c r="AH20" s="141">
        <f>'[2]Труд_по старости'!AJ8</f>
        <v>1329.3</v>
      </c>
      <c r="AI20" s="141">
        <f>'[2]Труд_по старости'!AK8</f>
        <v>1545</v>
      </c>
      <c r="AJ20" s="141">
        <f>'[2]Труд_по старости'!AM8</f>
        <v>1650.06</v>
      </c>
      <c r="AK20" s="141">
        <f>1950</f>
        <v>1950</v>
      </c>
      <c r="AL20" s="141">
        <f>2076.75</f>
        <v>2076.75</v>
      </c>
      <c r="AM20" s="96">
        <f>'[2]Труд_по старости'!AL8</f>
        <v>1524</v>
      </c>
      <c r="AN20" s="96">
        <f>'[2]Труд_по старости'!AQ8</f>
        <v>1607.82</v>
      </c>
      <c r="AO20" s="96">
        <f>'[2]Труд_по старости'!AR8</f>
        <v>1812</v>
      </c>
      <c r="AP20" s="96">
        <f>'[2]Труд_по старости'!AS8</f>
        <v>1671.94</v>
      </c>
      <c r="AQ20" s="8">
        <f t="shared" si="17"/>
        <v>2083.7999999999997</v>
      </c>
      <c r="AR20">
        <v>1376.1</v>
      </c>
      <c r="AS20" s="8">
        <f t="shared" si="18"/>
        <v>3459.8999999999996</v>
      </c>
      <c r="AT20" s="8">
        <f t="shared" si="19"/>
        <v>2174.4</v>
      </c>
      <c r="AU20" s="8">
        <f t="shared" si="20"/>
        <v>3550.5</v>
      </c>
      <c r="AV20" s="8">
        <f t="shared" si="21"/>
        <v>2355.6</v>
      </c>
      <c r="AW20" s="8">
        <f t="shared" si="22"/>
        <v>3731.7</v>
      </c>
      <c r="AX20" s="8">
        <f t="shared" si="23"/>
        <v>2536.7999999999997</v>
      </c>
      <c r="AY20" s="8">
        <f t="shared" si="24"/>
        <v>3912.8999999999996</v>
      </c>
      <c r="AZ20" s="8">
        <f t="shared" si="25"/>
        <v>2718</v>
      </c>
      <c r="BA20" s="8">
        <f t="shared" si="26"/>
        <v>4094.1</v>
      </c>
      <c r="BB20" s="8">
        <f t="shared" si="27"/>
        <v>2899.2000000000003</v>
      </c>
      <c r="BC20" s="8">
        <f t="shared" si="28"/>
        <v>4275.3</v>
      </c>
      <c r="BD20" s="8">
        <f t="shared" si="29"/>
        <v>3080.4</v>
      </c>
      <c r="BE20" s="8">
        <f t="shared" si="30"/>
        <v>4456.5</v>
      </c>
      <c r="BF20" s="8">
        <f t="shared" si="31"/>
        <v>3261.6</v>
      </c>
      <c r="BG20" s="8">
        <f t="shared" si="32"/>
        <v>4637.7</v>
      </c>
      <c r="BH20" s="8">
        <f t="shared" si="33"/>
        <v>3624</v>
      </c>
      <c r="BI20" s="8">
        <f t="shared" si="34"/>
        <v>5000.1</v>
      </c>
      <c r="DB20" s="96">
        <f>'[2]Труд_по старости'!DE8</f>
        <v>1650.06</v>
      </c>
      <c r="DC20" s="96">
        <f>'[2]Труд_по старости'!DF8</f>
        <v>1950</v>
      </c>
      <c r="DD20" s="96">
        <f>1560</f>
        <v>1560</v>
      </c>
      <c r="DE20" s="96">
        <f t="shared" si="35"/>
        <v>300</v>
      </c>
      <c r="DF20" s="96">
        <f>1452</f>
        <v>1452</v>
      </c>
      <c r="DG20" s="96">
        <f t="shared" si="36"/>
        <v>192</v>
      </c>
      <c r="DH20" s="96">
        <f>'[2]Труд_по старости'!BT8</f>
        <v>1794</v>
      </c>
      <c r="DI20" s="96">
        <f t="shared" si="37"/>
        <v>234</v>
      </c>
    </row>
    <row r="21" spans="1:113" ht="25.5">
      <c r="A21" s="114" t="s">
        <v>118</v>
      </c>
      <c r="B21" s="145" t="s">
        <v>119</v>
      </c>
      <c r="C21" s="141">
        <f>IF('[2]Труд_по старости'!B$8*0.85&lt;400,400,'[2]Труд_по старости'!B$8*0.85)</f>
        <v>400</v>
      </c>
      <c r="D21" s="141">
        <f>'[2]Труд_по старости'!C$8*0.85</f>
        <v>407.3625</v>
      </c>
      <c r="E21" s="141">
        <f>'[2]Труд_по старости'!D$8*0.85</f>
        <v>444.02299999999997</v>
      </c>
      <c r="F21" s="141">
        <f>G21-E21</f>
        <v>26.639000000000067</v>
      </c>
      <c r="G21" s="141">
        <f>'[2]Труд_по старости'!F$8*0.85</f>
        <v>470.66200000000003</v>
      </c>
      <c r="H21" s="96">
        <f>ROUND('[2]Труд_по старости'!G8*0.85,2)</f>
        <v>508.32</v>
      </c>
      <c r="I21" s="141">
        <f>H21-E21</f>
        <v>64.29700000000003</v>
      </c>
      <c r="J21" s="96">
        <f>ROUND(H21*J$5,2)</f>
        <v>527.85</v>
      </c>
      <c r="K21" s="114">
        <f>J21-H21</f>
        <v>19.53000000000003</v>
      </c>
      <c r="L21" s="141">
        <f>ROUND(660*0.85,2)</f>
        <v>561</v>
      </c>
      <c r="M21" s="96">
        <f t="shared" si="3"/>
        <v>52.68000000000001</v>
      </c>
      <c r="N21" s="96">
        <f>ROUND('[2]Труд_по старости'!M8*0.85,2)</f>
        <v>765</v>
      </c>
      <c r="O21" s="96">
        <f t="shared" si="4"/>
        <v>204</v>
      </c>
      <c r="P21" s="142">
        <f>ROUND('[2]Труд_по старости'!O8*0.85,2)</f>
        <v>765</v>
      </c>
      <c r="Q21" s="143">
        <f t="shared" si="5"/>
        <v>204</v>
      </c>
      <c r="R21" s="143">
        <f t="shared" si="6"/>
        <v>879.75</v>
      </c>
      <c r="S21" s="143">
        <f t="shared" si="7"/>
        <v>1055.7</v>
      </c>
      <c r="T21" s="143">
        <f t="shared" si="8"/>
        <v>1530</v>
      </c>
      <c r="U21" s="144">
        <f t="shared" si="9"/>
        <v>282</v>
      </c>
      <c r="V21" s="96">
        <f t="shared" si="10"/>
        <v>408</v>
      </c>
      <c r="W21" s="96">
        <f>ROUND(0.85*'[2]Труд_по старости'!X8,2)</f>
        <v>810.9</v>
      </c>
      <c r="X21" s="96">
        <f>ROUND(W21*X$5,2)</f>
        <v>859.55</v>
      </c>
      <c r="Y21" s="96">
        <f>ROUND('[2]Труд_по старости'!AA8*0.85,2)</f>
        <v>879.83</v>
      </c>
      <c r="Z21" s="96">
        <f t="shared" si="12"/>
        <v>48.64999999999998</v>
      </c>
      <c r="AA21" s="96">
        <f t="shared" si="13"/>
        <v>68.93000000000006</v>
      </c>
      <c r="AB21" s="141">
        <f>0.85*'[2]Труд_по старости'!AD8</f>
        <v>945.812</v>
      </c>
      <c r="AC21" s="141">
        <f t="shared" si="14"/>
        <v>65.98199999999997</v>
      </c>
      <c r="AD21" s="96">
        <f>0.85*'[2]Труд_по старости'!AF8</f>
        <v>1071</v>
      </c>
      <c r="AE21" s="141">
        <f t="shared" si="15"/>
        <v>125.18799999999999</v>
      </c>
      <c r="AF21" s="96">
        <f t="shared" si="16"/>
        <v>191.16999999999996</v>
      </c>
      <c r="AG21" s="96">
        <f>ROUND(0.85*'[2]Труд_по старости'!AI8,2)</f>
        <v>1145.97</v>
      </c>
      <c r="AH21" s="96">
        <f>ROUND(0.85*'[2]Труд_по старости'!AJ8,2)</f>
        <v>1129.91</v>
      </c>
      <c r="AI21" s="96">
        <f>ROUND(0.85*'[2]Труд_по старости'!AK8,2)</f>
        <v>1313.25</v>
      </c>
      <c r="AJ21" s="96">
        <f>ROUND(0.85*'[2]Труд_по старости'!AM8,2)</f>
        <v>1402.55</v>
      </c>
      <c r="AK21" s="96">
        <f>0.85*AK20</f>
        <v>1657.5</v>
      </c>
      <c r="AL21" s="96">
        <f>ROUND(0.85*AL20,2)</f>
        <v>1765.24</v>
      </c>
      <c r="AM21" s="141">
        <f>0.85*'[2]Труд_по старости'!AL8</f>
        <v>1295.3999999999999</v>
      </c>
      <c r="AN21" s="141">
        <f>0.85*'[2]Труд_по старости'!AQ8</f>
        <v>1366.647</v>
      </c>
      <c r="AO21" s="141">
        <f>0.85*'[2]Труд_по старости'!AR8</f>
        <v>1540.2</v>
      </c>
      <c r="AP21" s="141">
        <f>0.85*'[2]Труд_по старости'!AS8</f>
        <v>1421.1490000000001</v>
      </c>
      <c r="AQ21" s="8">
        <f t="shared" si="17"/>
        <v>1771.23</v>
      </c>
      <c r="AR21">
        <v>1100.88</v>
      </c>
      <c r="AS21" s="8">
        <f t="shared" si="18"/>
        <v>2872.11</v>
      </c>
      <c r="AT21" s="8">
        <f t="shared" si="19"/>
        <v>1848.24</v>
      </c>
      <c r="AU21" s="8">
        <f t="shared" si="20"/>
        <v>2949.12</v>
      </c>
      <c r="AV21" s="8">
        <f t="shared" si="21"/>
        <v>2002.2600000000002</v>
      </c>
      <c r="AW21" s="8">
        <f t="shared" si="22"/>
        <v>3103.1400000000003</v>
      </c>
      <c r="AX21" s="8">
        <f t="shared" si="23"/>
        <v>2156.2799999999997</v>
      </c>
      <c r="AY21" s="8">
        <f t="shared" si="24"/>
        <v>3257.16</v>
      </c>
      <c r="AZ21" s="8">
        <f t="shared" si="25"/>
        <v>2310.3</v>
      </c>
      <c r="BA21" s="8">
        <f t="shared" si="26"/>
        <v>3411.1800000000003</v>
      </c>
      <c r="BB21" s="8">
        <f t="shared" si="27"/>
        <v>2464.32</v>
      </c>
      <c r="BC21" s="8">
        <f t="shared" si="28"/>
        <v>3565.2000000000003</v>
      </c>
      <c r="BD21" s="8">
        <f t="shared" si="29"/>
        <v>2618.34</v>
      </c>
      <c r="BE21" s="8">
        <f t="shared" si="30"/>
        <v>3719.2200000000003</v>
      </c>
      <c r="BF21" s="8">
        <f t="shared" si="31"/>
        <v>2772.36</v>
      </c>
      <c r="BG21" s="8">
        <f t="shared" si="32"/>
        <v>3873.2400000000002</v>
      </c>
      <c r="BH21" s="8">
        <f t="shared" si="33"/>
        <v>3080.4</v>
      </c>
      <c r="BI21" s="8">
        <f t="shared" si="34"/>
        <v>4181.280000000001</v>
      </c>
      <c r="DB21" s="96">
        <f>ROUND(0.85*'[2]Труд_по старости'!DE8,2)</f>
        <v>1402.55</v>
      </c>
      <c r="DC21" s="96">
        <f>ROUND(0.85*'[2]Труд_по старости'!DF8,2)</f>
        <v>1657.5</v>
      </c>
      <c r="DD21" s="96">
        <f>0.85*DD20</f>
        <v>1326</v>
      </c>
      <c r="DE21" s="96">
        <f t="shared" si="35"/>
        <v>255</v>
      </c>
      <c r="DF21" s="141">
        <f>0.85*DF20</f>
        <v>1234.2</v>
      </c>
      <c r="DG21" s="141">
        <f t="shared" si="36"/>
        <v>163.20000000000005</v>
      </c>
      <c r="DH21" s="141">
        <f>0.85*'[2]Труд_по старости'!BT8</f>
        <v>1524.8999999999999</v>
      </c>
      <c r="DI21" s="96">
        <f t="shared" si="37"/>
        <v>198.89999999999986</v>
      </c>
    </row>
    <row r="22" spans="1:113" ht="12.75">
      <c r="A22" s="114" t="s">
        <v>120</v>
      </c>
      <c r="B22" s="114" t="s">
        <v>115</v>
      </c>
      <c r="C22" s="141">
        <f>'[2]Труд_по инв(потере корм)'!B$8</f>
        <v>900</v>
      </c>
      <c r="D22" s="141">
        <f>'[2]Труд_по инв(потере корм)'!C$8</f>
        <v>958.5</v>
      </c>
      <c r="E22" s="141">
        <f>'[2]Труд_по инв(потере корм)'!D$8</f>
        <v>1044.77</v>
      </c>
      <c r="F22" s="141">
        <f>G22-E22</f>
        <v>62.690000000000055</v>
      </c>
      <c r="G22" s="141">
        <f>'[2]Труд_по инв(потере корм)'!F$8</f>
        <v>1107.46</v>
      </c>
      <c r="H22" s="96">
        <f>ROUND(G22*1.08,2)</f>
        <v>1196.06</v>
      </c>
      <c r="I22" s="141">
        <f>H22-E22</f>
        <v>151.28999999999996</v>
      </c>
      <c r="J22" s="96">
        <f>ROUND(H22*J$5,2)</f>
        <v>1242.02</v>
      </c>
      <c r="K22" s="114">
        <f>J22-H22</f>
        <v>45.960000000000036</v>
      </c>
      <c r="L22" s="141">
        <f>L19</f>
        <v>1320.02</v>
      </c>
      <c r="M22" s="96">
        <f t="shared" si="3"/>
        <v>123.96000000000004</v>
      </c>
      <c r="N22" s="96">
        <f>ROUND(L22*N$5,2)</f>
        <v>1800.03</v>
      </c>
      <c r="O22" s="96">
        <f t="shared" si="4"/>
        <v>480.01</v>
      </c>
      <c r="P22" s="142">
        <f>'[2]Труд_по инв(потере корм)'!O8</f>
        <v>1800</v>
      </c>
      <c r="Q22" s="143">
        <f t="shared" si="5"/>
        <v>479.98</v>
      </c>
      <c r="R22" s="143">
        <f t="shared" si="6"/>
        <v>2070</v>
      </c>
      <c r="S22" s="143">
        <f t="shared" si="7"/>
        <v>2484</v>
      </c>
      <c r="T22" s="143">
        <f t="shared" si="8"/>
        <v>3600</v>
      </c>
      <c r="U22" s="144">
        <f t="shared" si="9"/>
        <v>662</v>
      </c>
      <c r="V22" s="96">
        <f t="shared" si="10"/>
        <v>960</v>
      </c>
      <c r="W22" s="96">
        <f>'[2]Труд_по инв(потере корм)'!W8</f>
        <v>1908</v>
      </c>
      <c r="X22" s="96">
        <f>ROUND(W22*X$5,2)</f>
        <v>2022.48</v>
      </c>
      <c r="Y22" s="141">
        <f>Y19</f>
        <v>2070.18</v>
      </c>
      <c r="Z22" s="96">
        <f t="shared" si="12"/>
        <v>114.48000000000002</v>
      </c>
      <c r="AA22" s="96">
        <f t="shared" si="13"/>
        <v>162.17999999999984</v>
      </c>
      <c r="AB22" s="96">
        <f>AB19</f>
        <v>2225.44</v>
      </c>
      <c r="AC22" s="141">
        <f t="shared" si="14"/>
        <v>155.26000000000022</v>
      </c>
      <c r="AD22" s="96">
        <f>AD19</f>
        <v>2520</v>
      </c>
      <c r="AE22" s="141">
        <f t="shared" si="15"/>
        <v>294.55999999999995</v>
      </c>
      <c r="AF22" s="96">
        <f t="shared" si="16"/>
        <v>449.82000000000016</v>
      </c>
      <c r="AG22" s="141">
        <f aca="true" t="shared" si="38" ref="AG22:AL22">AG19</f>
        <v>2696.4</v>
      </c>
      <c r="AH22" s="141">
        <f t="shared" si="38"/>
        <v>2658.6</v>
      </c>
      <c r="AI22" s="141">
        <f t="shared" si="38"/>
        <v>3090</v>
      </c>
      <c r="AJ22" s="141">
        <f t="shared" si="38"/>
        <v>3300.12</v>
      </c>
      <c r="AK22" s="141">
        <f t="shared" si="38"/>
        <v>3900</v>
      </c>
      <c r="AL22" s="141">
        <f t="shared" si="38"/>
        <v>4153.5</v>
      </c>
      <c r="AM22" s="96">
        <f>'[2]Труд_по инв(потере корм)'!AM8</f>
        <v>3048</v>
      </c>
      <c r="AN22" s="96">
        <f>'[2]Труд_по инв(потере корм)'!AN8</f>
        <v>3215.64</v>
      </c>
      <c r="AO22" s="96">
        <f>'[2]Труд_по инв(потере корм)'!AO8</f>
        <v>3624</v>
      </c>
      <c r="AP22" s="96">
        <f>'[2]Труд_по инв(потере корм)'!AP8</f>
        <v>3343.88</v>
      </c>
      <c r="AQ22" s="8">
        <f t="shared" si="17"/>
        <v>4167.599999999999</v>
      </c>
      <c r="AR22">
        <v>1926.53</v>
      </c>
      <c r="AS22" s="8">
        <f t="shared" si="18"/>
        <v>6094.129999999999</v>
      </c>
      <c r="AT22" s="8">
        <f t="shared" si="19"/>
        <v>4348.8</v>
      </c>
      <c r="AU22" s="8">
        <f t="shared" si="20"/>
        <v>6275.33</v>
      </c>
      <c r="AV22" s="8">
        <f t="shared" si="21"/>
        <v>4711.2</v>
      </c>
      <c r="AW22" s="8">
        <f t="shared" si="22"/>
        <v>6637.73</v>
      </c>
      <c r="AX22" s="8">
        <f t="shared" si="23"/>
        <v>5073.599999999999</v>
      </c>
      <c r="AY22" s="8">
        <f t="shared" si="24"/>
        <v>7000.129999999999</v>
      </c>
      <c r="AZ22" s="8">
        <f t="shared" si="25"/>
        <v>5436</v>
      </c>
      <c r="BA22" s="8">
        <f t="shared" si="26"/>
        <v>7362.53</v>
      </c>
      <c r="BB22" s="8">
        <f t="shared" si="27"/>
        <v>5798.400000000001</v>
      </c>
      <c r="BC22" s="8">
        <f t="shared" si="28"/>
        <v>7724.93</v>
      </c>
      <c r="BD22" s="8">
        <f t="shared" si="29"/>
        <v>6160.8</v>
      </c>
      <c r="BE22" s="8">
        <f t="shared" si="30"/>
        <v>8087.33</v>
      </c>
      <c r="BF22" s="8">
        <f t="shared" si="31"/>
        <v>6523.2</v>
      </c>
      <c r="BG22" s="8">
        <f t="shared" si="32"/>
        <v>8449.73</v>
      </c>
      <c r="BH22" s="8">
        <f t="shared" si="33"/>
        <v>7248</v>
      </c>
      <c r="BI22" s="8">
        <f t="shared" si="34"/>
        <v>9174.53</v>
      </c>
      <c r="DB22" s="96">
        <f>DB19</f>
        <v>3300.12</v>
      </c>
      <c r="DC22" s="96">
        <f>DC19</f>
        <v>3900</v>
      </c>
      <c r="DD22" s="96">
        <f>DD19</f>
        <v>3120</v>
      </c>
      <c r="DE22" s="96">
        <f t="shared" si="35"/>
        <v>600</v>
      </c>
      <c r="DF22" s="96">
        <f>DF19</f>
        <v>2904</v>
      </c>
      <c r="DG22" s="96">
        <f t="shared" si="36"/>
        <v>384</v>
      </c>
      <c r="DH22" s="96">
        <f>'[2]Труд_по инв(потере корм)'!BS8</f>
        <v>3588</v>
      </c>
      <c r="DI22" s="96">
        <f t="shared" si="37"/>
        <v>468</v>
      </c>
    </row>
    <row r="23" spans="1:113" ht="12.75">
      <c r="A23" s="114" t="s">
        <v>121</v>
      </c>
      <c r="B23" s="114"/>
      <c r="C23" s="141"/>
      <c r="D23" s="141"/>
      <c r="E23" s="141"/>
      <c r="F23" s="141"/>
      <c r="G23" s="141"/>
      <c r="H23" s="96"/>
      <c r="I23" s="141"/>
      <c r="J23" s="96"/>
      <c r="K23" s="114"/>
      <c r="L23" s="141"/>
      <c r="M23" s="96"/>
      <c r="N23" s="96"/>
      <c r="O23" s="96"/>
      <c r="P23" s="142"/>
      <c r="Q23" s="143"/>
      <c r="R23" s="143"/>
      <c r="S23" s="143"/>
      <c r="T23" s="143"/>
      <c r="U23" s="144"/>
      <c r="V23" s="96"/>
      <c r="W23" s="96"/>
      <c r="X23" s="96"/>
      <c r="Y23" s="141"/>
      <c r="Z23" s="96"/>
      <c r="AA23" s="96"/>
      <c r="AB23" s="96"/>
      <c r="AC23" s="141"/>
      <c r="AD23" s="96"/>
      <c r="AE23" s="141"/>
      <c r="AF23" s="96"/>
      <c r="AG23" s="96"/>
      <c r="AH23" s="141"/>
      <c r="AI23" s="141"/>
      <c r="AJ23" s="141"/>
      <c r="AK23" s="141"/>
      <c r="AL23" s="141"/>
      <c r="AM23" s="96"/>
      <c r="AN23" s="96"/>
      <c r="AO23" s="96">
        <v>3624</v>
      </c>
      <c r="AP23" s="96"/>
      <c r="AQ23" s="8">
        <f t="shared" si="17"/>
        <v>4167.599999999999</v>
      </c>
      <c r="AR23">
        <v>1376.1</v>
      </c>
      <c r="AS23" s="8">
        <f t="shared" si="18"/>
        <v>5543.699999999999</v>
      </c>
      <c r="AT23" s="8">
        <f t="shared" si="19"/>
        <v>4348.8</v>
      </c>
      <c r="AU23" s="8">
        <f t="shared" si="20"/>
        <v>5724.9</v>
      </c>
      <c r="AV23" s="8">
        <f t="shared" si="21"/>
        <v>4711.2</v>
      </c>
      <c r="AW23" s="8">
        <f t="shared" si="22"/>
        <v>6087.299999999999</v>
      </c>
      <c r="AX23" s="8">
        <f t="shared" si="23"/>
        <v>5073.599999999999</v>
      </c>
      <c r="AY23" s="8">
        <f t="shared" si="24"/>
        <v>6449.699999999999</v>
      </c>
      <c r="AZ23" s="8">
        <f t="shared" si="25"/>
        <v>5436</v>
      </c>
      <c r="BA23" s="8">
        <f t="shared" si="26"/>
        <v>6812.1</v>
      </c>
      <c r="BB23" s="8">
        <f t="shared" si="27"/>
        <v>5798.400000000001</v>
      </c>
      <c r="BC23" s="8">
        <f t="shared" si="28"/>
        <v>7174.5</v>
      </c>
      <c r="BD23" s="8">
        <f t="shared" si="29"/>
        <v>6160.8</v>
      </c>
      <c r="BE23" s="8">
        <f t="shared" si="30"/>
        <v>7536.9</v>
      </c>
      <c r="BF23" s="8">
        <f t="shared" si="31"/>
        <v>6523.2</v>
      </c>
      <c r="BG23" s="8">
        <f t="shared" si="32"/>
        <v>7899.299999999999</v>
      </c>
      <c r="BH23" s="8">
        <f t="shared" si="33"/>
        <v>7248</v>
      </c>
      <c r="BI23" s="8">
        <f t="shared" si="34"/>
        <v>8624.1</v>
      </c>
      <c r="DB23" s="114"/>
      <c r="DC23" s="114"/>
      <c r="DD23" s="96"/>
      <c r="DE23" s="96">
        <f t="shared" si="35"/>
        <v>0</v>
      </c>
      <c r="DF23" s="96"/>
      <c r="DG23" s="96">
        <f t="shared" si="36"/>
        <v>0</v>
      </c>
      <c r="DH23" s="96"/>
      <c r="DI23" s="96">
        <f t="shared" si="37"/>
        <v>0</v>
      </c>
    </row>
    <row r="24" spans="1:113" ht="12.75">
      <c r="A24" s="114" t="s">
        <v>122</v>
      </c>
      <c r="B24" s="114" t="s">
        <v>115</v>
      </c>
      <c r="C24" s="141">
        <f>'[2]Труд_по инв(потере корм)'!B$8</f>
        <v>900</v>
      </c>
      <c r="D24" s="141">
        <f>'[2]Труд_по инв(потере корм)'!C$8</f>
        <v>958.5</v>
      </c>
      <c r="E24" s="141">
        <f>'[2]Труд_по инв(потере корм)'!D$8</f>
        <v>1044.77</v>
      </c>
      <c r="F24" s="141">
        <f>G24-E24</f>
        <v>62.690000000000055</v>
      </c>
      <c r="G24" s="141">
        <f>'[2]Труд_по инв(потере корм)'!F$8</f>
        <v>1107.46</v>
      </c>
      <c r="H24" s="96">
        <f>ROUND(G24*1.08,2)</f>
        <v>1196.06</v>
      </c>
      <c r="I24" s="141">
        <f>H24-E24</f>
        <v>151.28999999999996</v>
      </c>
      <c r="J24" s="96">
        <f>ROUND(H24*J$5,2)</f>
        <v>1242.02</v>
      </c>
      <c r="K24" s="114">
        <f>J24-H24</f>
        <v>45.960000000000036</v>
      </c>
      <c r="L24" s="141">
        <f>L22</f>
        <v>1320.02</v>
      </c>
      <c r="M24" s="96">
        <f>L24-H24</f>
        <v>123.96000000000004</v>
      </c>
      <c r="N24" s="96">
        <f aca="true" t="shared" si="39" ref="N24:N29">ROUND(L24*N$5,2)</f>
        <v>1800.03</v>
      </c>
      <c r="O24" s="96">
        <f aca="true" t="shared" si="40" ref="O24:O29">N24-L24</f>
        <v>480.01</v>
      </c>
      <c r="P24" s="142">
        <f>'[2]Труд_по инв(потере корм)'!O8</f>
        <v>1800</v>
      </c>
      <c r="Q24" s="143">
        <f aca="true" t="shared" si="41" ref="Q24:Q29">P24-L24</f>
        <v>479.98</v>
      </c>
      <c r="R24" s="143">
        <f aca="true" t="shared" si="42" ref="R24:R29">ROUND(P24*1.15,2)</f>
        <v>2070</v>
      </c>
      <c r="S24" s="143">
        <f aca="true" t="shared" si="43" ref="S24:S29">ROUND(P24*1.38,2)</f>
        <v>2484</v>
      </c>
      <c r="T24" s="143">
        <f aca="true" t="shared" si="44" ref="T24:T29">ROUND(P24*2,2)</f>
        <v>3600</v>
      </c>
      <c r="U24" s="144">
        <f>ROUND(Q24*1.38,0)</f>
        <v>662</v>
      </c>
      <c r="V24" s="96">
        <f aca="true" t="shared" si="45" ref="V24:V29">ROUND(Q24*2,0)</f>
        <v>960</v>
      </c>
      <c r="W24" s="96">
        <f>W22</f>
        <v>1908</v>
      </c>
      <c r="X24" s="96">
        <f>ROUND(W24*X$5,2)</f>
        <v>2022.48</v>
      </c>
      <c r="Y24" s="141">
        <f>Y19</f>
        <v>2070.18</v>
      </c>
      <c r="Z24" s="96">
        <f>X24-W24</f>
        <v>114.48000000000002</v>
      </c>
      <c r="AA24" s="96">
        <f>Y24-W24</f>
        <v>162.17999999999984</v>
      </c>
      <c r="AB24" s="96">
        <f>AB22</f>
        <v>2225.44</v>
      </c>
      <c r="AC24" s="141">
        <f>AB24-Y24</f>
        <v>155.26000000000022</v>
      </c>
      <c r="AD24" s="96">
        <f>AD22</f>
        <v>2520</v>
      </c>
      <c r="AE24" s="141">
        <f>AD24-AB24</f>
        <v>294.55999999999995</v>
      </c>
      <c r="AF24" s="96">
        <f>AD24-Y24</f>
        <v>449.82000000000016</v>
      </c>
      <c r="AG24" s="141">
        <f>AG19</f>
        <v>2696.4</v>
      </c>
      <c r="AH24" s="141">
        <f>AH19</f>
        <v>2658.6</v>
      </c>
      <c r="AI24" s="141">
        <f>AI19</f>
        <v>3090</v>
      </c>
      <c r="AJ24" s="141">
        <f>AJ22</f>
        <v>3300.12</v>
      </c>
      <c r="AK24" s="141">
        <f>AK22</f>
        <v>3900</v>
      </c>
      <c r="AL24" s="141">
        <f>AL22</f>
        <v>4153.5</v>
      </c>
      <c r="AM24" s="142">
        <f>'[2]Труд_по инв(потере корм)'!AM8</f>
        <v>3048</v>
      </c>
      <c r="AN24" s="141">
        <f>'[2]Труд_по инв(потере корм)'!AN8</f>
        <v>3215.64</v>
      </c>
      <c r="AO24" s="142">
        <f>'[2]Труд_по инв(потере корм)'!AO8</f>
        <v>3624</v>
      </c>
      <c r="AP24" s="141">
        <f>'[2]Труд_по инв(потере корм)'!AP8</f>
        <v>3343.88</v>
      </c>
      <c r="AQ24" s="8">
        <f t="shared" si="17"/>
        <v>4167.599999999999</v>
      </c>
      <c r="AR24">
        <v>1376.1</v>
      </c>
      <c r="AS24" s="8">
        <f t="shared" si="18"/>
        <v>5543.699999999999</v>
      </c>
      <c r="AT24" s="8">
        <f t="shared" si="19"/>
        <v>4348.8</v>
      </c>
      <c r="AU24" s="8">
        <f t="shared" si="20"/>
        <v>5724.9</v>
      </c>
      <c r="AV24" s="8">
        <f t="shared" si="21"/>
        <v>4711.2</v>
      </c>
      <c r="AW24" s="8">
        <f t="shared" si="22"/>
        <v>6087.299999999999</v>
      </c>
      <c r="AX24" s="8">
        <f t="shared" si="23"/>
        <v>5073.599999999999</v>
      </c>
      <c r="AY24" s="8">
        <f t="shared" si="24"/>
        <v>6449.699999999999</v>
      </c>
      <c r="AZ24" s="8">
        <f t="shared" si="25"/>
        <v>5436</v>
      </c>
      <c r="BA24" s="8">
        <f t="shared" si="26"/>
        <v>6812.1</v>
      </c>
      <c r="BB24" s="8">
        <f t="shared" si="27"/>
        <v>5798.400000000001</v>
      </c>
      <c r="BC24" s="8">
        <f t="shared" si="28"/>
        <v>7174.5</v>
      </c>
      <c r="BD24" s="8">
        <f t="shared" si="29"/>
        <v>6160.8</v>
      </c>
      <c r="BE24" s="8">
        <f t="shared" si="30"/>
        <v>7536.9</v>
      </c>
      <c r="BF24" s="8">
        <f t="shared" si="31"/>
        <v>6523.2</v>
      </c>
      <c r="BG24" s="8">
        <f t="shared" si="32"/>
        <v>7899.299999999999</v>
      </c>
      <c r="BH24" s="8">
        <f t="shared" si="33"/>
        <v>7248</v>
      </c>
      <c r="BI24" s="8">
        <f t="shared" si="34"/>
        <v>8624.1</v>
      </c>
      <c r="DB24" s="96">
        <f>DB19</f>
        <v>3300.12</v>
      </c>
      <c r="DC24" s="96">
        <f>DC19</f>
        <v>3900</v>
      </c>
      <c r="DD24" s="96">
        <f>DD19</f>
        <v>3120</v>
      </c>
      <c r="DE24" s="96">
        <f t="shared" si="35"/>
        <v>600</v>
      </c>
      <c r="DF24" s="96">
        <f>DF19</f>
        <v>2904</v>
      </c>
      <c r="DG24" s="96">
        <f t="shared" si="36"/>
        <v>384</v>
      </c>
      <c r="DH24" s="96">
        <f>DH22</f>
        <v>3588</v>
      </c>
      <c r="DI24" s="96">
        <f t="shared" si="37"/>
        <v>468</v>
      </c>
    </row>
    <row r="25" spans="1:113" ht="12.75">
      <c r="A25" s="140" t="s">
        <v>123</v>
      </c>
      <c r="B25" s="114" t="s">
        <v>115</v>
      </c>
      <c r="C25" s="141">
        <f>'[2]Труд_по инв(потере корм)'!B$8</f>
        <v>900</v>
      </c>
      <c r="D25" s="141">
        <f>'[2]Труд_по инв(потере корм)'!C$8</f>
        <v>958.5</v>
      </c>
      <c r="E25" s="141">
        <f>'[2]Труд_по инв(потере корм)'!D$8</f>
        <v>1044.77</v>
      </c>
      <c r="F25" s="141">
        <f>G25-E25</f>
        <v>62.690000000000055</v>
      </c>
      <c r="G25" s="141">
        <f>'[2]Труд_по инв(потере корм)'!F$8</f>
        <v>1107.46</v>
      </c>
      <c r="H25" s="96">
        <f>ROUND(G25*1.08,2)</f>
        <v>1196.06</v>
      </c>
      <c r="I25" s="141">
        <f>H25-E25</f>
        <v>151.28999999999996</v>
      </c>
      <c r="J25" s="96">
        <f>ROUND(H25*J$5,2)</f>
        <v>1242.02</v>
      </c>
      <c r="K25" s="114">
        <f>J25-H25</f>
        <v>45.960000000000036</v>
      </c>
      <c r="L25" s="141">
        <f>L24</f>
        <v>1320.02</v>
      </c>
      <c r="M25" s="96">
        <f>L25-H25</f>
        <v>123.96000000000004</v>
      </c>
      <c r="N25" s="96">
        <f t="shared" si="39"/>
        <v>1800.03</v>
      </c>
      <c r="O25" s="96">
        <f t="shared" si="40"/>
        <v>480.01</v>
      </c>
      <c r="P25" s="142">
        <f>'[2]Труд_по инв(потере корм)'!O8</f>
        <v>1800</v>
      </c>
      <c r="Q25" s="143">
        <f t="shared" si="41"/>
        <v>479.98</v>
      </c>
      <c r="R25" s="143">
        <f t="shared" si="42"/>
        <v>2070</v>
      </c>
      <c r="S25" s="143">
        <f t="shared" si="43"/>
        <v>2484</v>
      </c>
      <c r="T25" s="143">
        <f t="shared" si="44"/>
        <v>3600</v>
      </c>
      <c r="U25" s="144">
        <f>ROUND(Q25*1.38,0)</f>
        <v>662</v>
      </c>
      <c r="V25" s="96">
        <f t="shared" si="45"/>
        <v>960</v>
      </c>
      <c r="W25" s="96">
        <f>W22</f>
        <v>1908</v>
      </c>
      <c r="X25" s="96">
        <f>ROUND(W25*X$5,2)</f>
        <v>2022.48</v>
      </c>
      <c r="Y25" s="141">
        <f>Y19</f>
        <v>2070.18</v>
      </c>
      <c r="Z25" s="96">
        <f>X25-W25</f>
        <v>114.48000000000002</v>
      </c>
      <c r="AA25" s="96">
        <f>Y25-W25</f>
        <v>162.17999999999984</v>
      </c>
      <c r="AB25" s="96">
        <f>AB24</f>
        <v>2225.44</v>
      </c>
      <c r="AC25" s="141">
        <f>AB25-Y25</f>
        <v>155.26000000000022</v>
      </c>
      <c r="AD25" s="96">
        <f>AD24</f>
        <v>2520</v>
      </c>
      <c r="AE25" s="141">
        <f>AD25-AB25</f>
        <v>294.55999999999995</v>
      </c>
      <c r="AF25" s="96">
        <f>AD25-Y25</f>
        <v>449.82000000000016</v>
      </c>
      <c r="AG25" s="141">
        <f aca="true" t="shared" si="46" ref="AG25:AI26">AG19</f>
        <v>2696.4</v>
      </c>
      <c r="AH25" s="141">
        <f t="shared" si="46"/>
        <v>2658.6</v>
      </c>
      <c r="AI25" s="141">
        <f t="shared" si="46"/>
        <v>3090</v>
      </c>
      <c r="AJ25" s="141">
        <f aca="true" t="shared" si="47" ref="AJ25:AP25">AJ24</f>
        <v>3300.12</v>
      </c>
      <c r="AK25" s="141">
        <f t="shared" si="47"/>
        <v>3900</v>
      </c>
      <c r="AL25" s="141">
        <f t="shared" si="47"/>
        <v>4153.5</v>
      </c>
      <c r="AM25" s="142">
        <f t="shared" si="47"/>
        <v>3048</v>
      </c>
      <c r="AN25" s="141">
        <f t="shared" si="47"/>
        <v>3215.64</v>
      </c>
      <c r="AO25" s="142">
        <f t="shared" si="47"/>
        <v>3624</v>
      </c>
      <c r="AP25" s="141">
        <f t="shared" si="47"/>
        <v>3343.88</v>
      </c>
      <c r="AQ25" s="8">
        <f t="shared" si="17"/>
        <v>4167.599999999999</v>
      </c>
      <c r="AS25" s="8">
        <f t="shared" si="18"/>
        <v>4167.599999999999</v>
      </c>
      <c r="AT25" s="8">
        <f t="shared" si="19"/>
        <v>4348.8</v>
      </c>
      <c r="AU25" s="8">
        <f t="shared" si="20"/>
        <v>4348.8</v>
      </c>
      <c r="AV25" s="8">
        <f t="shared" si="21"/>
        <v>4711.2</v>
      </c>
      <c r="AW25" s="8">
        <f t="shared" si="22"/>
        <v>4711.2</v>
      </c>
      <c r="AX25" s="8">
        <f t="shared" si="23"/>
        <v>5073.599999999999</v>
      </c>
      <c r="AY25" s="8">
        <f t="shared" si="24"/>
        <v>5073.599999999999</v>
      </c>
      <c r="AZ25" s="8">
        <f t="shared" si="25"/>
        <v>5436</v>
      </c>
      <c r="BA25" s="8">
        <f t="shared" si="26"/>
        <v>5436</v>
      </c>
      <c r="BB25" s="8">
        <f t="shared" si="27"/>
        <v>5798.400000000001</v>
      </c>
      <c r="BC25" s="8">
        <f t="shared" si="28"/>
        <v>5798.400000000001</v>
      </c>
      <c r="BD25" s="8">
        <f t="shared" si="29"/>
        <v>6160.8</v>
      </c>
      <c r="BE25" s="8">
        <f t="shared" si="30"/>
        <v>6160.8</v>
      </c>
      <c r="BF25" s="8">
        <f t="shared" si="31"/>
        <v>6523.2</v>
      </c>
      <c r="BG25" s="8">
        <f t="shared" si="32"/>
        <v>6523.2</v>
      </c>
      <c r="BH25" s="8">
        <f t="shared" si="33"/>
        <v>7248</v>
      </c>
      <c r="BI25" s="8">
        <f t="shared" si="34"/>
        <v>7248</v>
      </c>
      <c r="DB25" s="96">
        <f>DB19</f>
        <v>3300.12</v>
      </c>
      <c r="DC25" s="96">
        <f>DC19</f>
        <v>3900</v>
      </c>
      <c r="DD25" s="96">
        <f>DD19</f>
        <v>3120</v>
      </c>
      <c r="DE25" s="96">
        <f t="shared" si="35"/>
        <v>600</v>
      </c>
      <c r="DF25" s="96">
        <f>DF19</f>
        <v>2904</v>
      </c>
      <c r="DG25" s="96">
        <f t="shared" si="36"/>
        <v>384</v>
      </c>
      <c r="DH25" s="96">
        <f>DH22</f>
        <v>3588</v>
      </c>
      <c r="DI25" s="96">
        <f t="shared" si="37"/>
        <v>468</v>
      </c>
    </row>
    <row r="26" spans="1:113" ht="26.25" customHeight="1">
      <c r="A26" s="114" t="s">
        <v>124</v>
      </c>
      <c r="B26" s="145" t="s">
        <v>117</v>
      </c>
      <c r="C26" s="141">
        <f>IF('[2]Труд_по старости'!B$8&lt;470,470,'[2]Труд_по старости'!B$8)</f>
        <v>470</v>
      </c>
      <c r="D26" s="141">
        <f>'[2]Труд_по старости'!C$8</f>
        <v>479.25</v>
      </c>
      <c r="E26" s="141">
        <f>'[2]Труд_по старости'!D$8</f>
        <v>522.38</v>
      </c>
      <c r="F26" s="141">
        <f>G26-E26</f>
        <v>31.340000000000032</v>
      </c>
      <c r="G26" s="141">
        <f>'[2]Труд_по старости'!F$8</f>
        <v>553.72</v>
      </c>
      <c r="H26" s="96">
        <f>ROUND(G26*1.08,2)</f>
        <v>598.02</v>
      </c>
      <c r="I26" s="141">
        <f>H26-E26</f>
        <v>75.63999999999999</v>
      </c>
      <c r="J26" s="141">
        <f>ROUND(H26*J$5,2)</f>
        <v>621</v>
      </c>
      <c r="K26" s="114">
        <f>J26-H26</f>
        <v>22.980000000000018</v>
      </c>
      <c r="L26" s="141">
        <v>660</v>
      </c>
      <c r="M26" s="96">
        <f>L26-H26</f>
        <v>61.98000000000002</v>
      </c>
      <c r="N26" s="96">
        <f t="shared" si="39"/>
        <v>900</v>
      </c>
      <c r="O26" s="96">
        <f t="shared" si="40"/>
        <v>240</v>
      </c>
      <c r="P26" s="142">
        <f>'[2]Труд_по старости'!O8</f>
        <v>900</v>
      </c>
      <c r="Q26" s="143">
        <f t="shared" si="41"/>
        <v>240</v>
      </c>
      <c r="R26" s="143">
        <f t="shared" si="42"/>
        <v>1035</v>
      </c>
      <c r="S26" s="143">
        <f t="shared" si="43"/>
        <v>1242</v>
      </c>
      <c r="T26" s="143">
        <f t="shared" si="44"/>
        <v>1800</v>
      </c>
      <c r="U26" s="144">
        <f>ROUND(Q26*1.38,0)</f>
        <v>331</v>
      </c>
      <c r="V26" s="96">
        <f t="shared" si="45"/>
        <v>480</v>
      </c>
      <c r="W26" s="96">
        <f>'[2]Труд_по старости'!X8</f>
        <v>954</v>
      </c>
      <c r="X26" s="96">
        <f>ROUND(W26*X$5,2)</f>
        <v>1011.24</v>
      </c>
      <c r="Y26" s="96">
        <f>Y20</f>
        <v>1035.09</v>
      </c>
      <c r="Z26" s="96">
        <f>X26-W26</f>
        <v>57.24000000000001</v>
      </c>
      <c r="AA26" s="96">
        <f>Y26-W26</f>
        <v>81.08999999999992</v>
      </c>
      <c r="AB26" s="96">
        <f>AB20</f>
        <v>1112.72</v>
      </c>
      <c r="AC26" s="141">
        <f>AB26-Y26</f>
        <v>77.63000000000011</v>
      </c>
      <c r="AD26" s="96">
        <f>'[2]Труд_по старости'!AF8</f>
        <v>1260</v>
      </c>
      <c r="AE26" s="141">
        <f>AD26-AB26</f>
        <v>147.27999999999997</v>
      </c>
      <c r="AF26" s="96">
        <f>AD26-Y26</f>
        <v>224.91000000000008</v>
      </c>
      <c r="AG26" s="96">
        <f t="shared" si="46"/>
        <v>1348.2</v>
      </c>
      <c r="AH26" s="96">
        <f t="shared" si="46"/>
        <v>1329.3</v>
      </c>
      <c r="AI26" s="141">
        <f t="shared" si="46"/>
        <v>1545</v>
      </c>
      <c r="AJ26" s="141">
        <f aca="true" t="shared" si="48" ref="AJ26:AP26">AJ20</f>
        <v>1650.06</v>
      </c>
      <c r="AK26" s="141">
        <f t="shared" si="48"/>
        <v>1950</v>
      </c>
      <c r="AL26" s="141">
        <f t="shared" si="48"/>
        <v>2076.75</v>
      </c>
      <c r="AM26" s="142">
        <f t="shared" si="48"/>
        <v>1524</v>
      </c>
      <c r="AN26" s="141">
        <f t="shared" si="48"/>
        <v>1607.82</v>
      </c>
      <c r="AO26" s="142">
        <f t="shared" si="48"/>
        <v>1812</v>
      </c>
      <c r="AP26" s="141">
        <f t="shared" si="48"/>
        <v>1671.94</v>
      </c>
      <c r="AQ26" s="8">
        <f t="shared" si="17"/>
        <v>2083.7999999999997</v>
      </c>
      <c r="AS26" s="8">
        <f t="shared" si="18"/>
        <v>2083.7999999999997</v>
      </c>
      <c r="AT26" s="8">
        <f t="shared" si="19"/>
        <v>2174.4</v>
      </c>
      <c r="AU26" s="8">
        <f t="shared" si="20"/>
        <v>2174.4</v>
      </c>
      <c r="AV26" s="8">
        <f t="shared" si="21"/>
        <v>2355.6</v>
      </c>
      <c r="AW26" s="8">
        <f t="shared" si="22"/>
        <v>2355.6</v>
      </c>
      <c r="AX26" s="8">
        <f t="shared" si="23"/>
        <v>2536.7999999999997</v>
      </c>
      <c r="AY26" s="8">
        <f t="shared" si="24"/>
        <v>2536.7999999999997</v>
      </c>
      <c r="AZ26" s="8">
        <f t="shared" si="25"/>
        <v>2718</v>
      </c>
      <c r="BA26" s="8">
        <f t="shared" si="26"/>
        <v>2718</v>
      </c>
      <c r="BB26" s="8">
        <f t="shared" si="27"/>
        <v>2899.2000000000003</v>
      </c>
      <c r="BC26" s="8">
        <f t="shared" si="28"/>
        <v>2899.2000000000003</v>
      </c>
      <c r="BD26" s="8">
        <f t="shared" si="29"/>
        <v>3080.4</v>
      </c>
      <c r="BE26" s="8">
        <f t="shared" si="30"/>
        <v>3080.4</v>
      </c>
      <c r="BF26" s="8">
        <f t="shared" si="31"/>
        <v>3261.6</v>
      </c>
      <c r="BG26" s="8">
        <f t="shared" si="32"/>
        <v>3261.6</v>
      </c>
      <c r="BH26" s="8">
        <f t="shared" si="33"/>
        <v>3624</v>
      </c>
      <c r="BI26" s="8">
        <f t="shared" si="34"/>
        <v>3624</v>
      </c>
      <c r="DB26" s="96">
        <f>DB20</f>
        <v>1650.06</v>
      </c>
      <c r="DC26" s="96">
        <f>DC20</f>
        <v>1950</v>
      </c>
      <c r="DD26" s="96">
        <v>1560</v>
      </c>
      <c r="DE26" s="96">
        <f t="shared" si="35"/>
        <v>300</v>
      </c>
      <c r="DF26" s="96">
        <f>DF20</f>
        <v>1452</v>
      </c>
      <c r="DG26" s="96">
        <f t="shared" si="36"/>
        <v>192</v>
      </c>
      <c r="DH26" s="96">
        <f>'[2]Труд_по старости'!BT8</f>
        <v>1794</v>
      </c>
      <c r="DI26" s="96">
        <f t="shared" si="37"/>
        <v>234</v>
      </c>
    </row>
    <row r="27" spans="1:113" ht="38.25">
      <c r="A27" s="145" t="s">
        <v>125</v>
      </c>
      <c r="B27" s="114" t="s">
        <v>126</v>
      </c>
      <c r="C27" s="141">
        <f>'[2]Труд_по старости'!B$8</f>
        <v>450</v>
      </c>
      <c r="D27" s="141">
        <f>'[2]Труд_по старости'!C$8</f>
        <v>479.25</v>
      </c>
      <c r="E27" s="141">
        <f>'[2]Труд_по старости'!D$8</f>
        <v>522.38</v>
      </c>
      <c r="F27" s="141">
        <f>G27-E27</f>
        <v>31.340000000000032</v>
      </c>
      <c r="G27" s="141">
        <f>'[2]Труд_по старости'!F$8</f>
        <v>553.72</v>
      </c>
      <c r="H27" s="96">
        <f>ROUND(G27*1.08,2)</f>
        <v>598.02</v>
      </c>
      <c r="I27" s="141">
        <f>H27-E27</f>
        <v>75.63999999999999</v>
      </c>
      <c r="J27" s="141">
        <f>ROUND(H27*J$5,2)</f>
        <v>621</v>
      </c>
      <c r="K27" s="114">
        <f>J27-H27</f>
        <v>22.980000000000018</v>
      </c>
      <c r="L27" s="141">
        <v>660</v>
      </c>
      <c r="M27" s="96">
        <f>L27-H27</f>
        <v>61.98000000000002</v>
      </c>
      <c r="N27" s="96">
        <f t="shared" si="39"/>
        <v>900</v>
      </c>
      <c r="O27" s="96">
        <f t="shared" si="40"/>
        <v>240</v>
      </c>
      <c r="P27" s="142">
        <f>'[2]Труд_по старости'!O8</f>
        <v>900</v>
      </c>
      <c r="Q27" s="143">
        <f t="shared" si="41"/>
        <v>240</v>
      </c>
      <c r="R27" s="143">
        <f t="shared" si="42"/>
        <v>1035</v>
      </c>
      <c r="S27" s="143">
        <f t="shared" si="43"/>
        <v>1242</v>
      </c>
      <c r="T27" s="143">
        <f t="shared" si="44"/>
        <v>1800</v>
      </c>
      <c r="U27" s="144">
        <f>ROUND(Q27*1.38,0)</f>
        <v>331</v>
      </c>
      <c r="V27" s="96">
        <f t="shared" si="45"/>
        <v>480</v>
      </c>
      <c r="W27" s="96">
        <f>W26</f>
        <v>954</v>
      </c>
      <c r="X27" s="96">
        <f>ROUND(W27*X$5,2)</f>
        <v>1011.24</v>
      </c>
      <c r="Y27" s="96">
        <f>ROUND(W27*1.085,2)</f>
        <v>1035.09</v>
      </c>
      <c r="Z27" s="96">
        <f>X27-W27</f>
        <v>57.24000000000001</v>
      </c>
      <c r="AA27" s="96">
        <f>Y27-W27</f>
        <v>81.08999999999992</v>
      </c>
      <c r="AB27" s="96">
        <f>AB26</f>
        <v>1112.72</v>
      </c>
      <c r="AC27" s="141">
        <f>AB27-Y27</f>
        <v>77.63000000000011</v>
      </c>
      <c r="AD27" s="96">
        <f>AD26</f>
        <v>1260</v>
      </c>
      <c r="AE27" s="141">
        <f>AD27-AB27</f>
        <v>147.27999999999997</v>
      </c>
      <c r="AF27" s="96">
        <f>AD27-Y27</f>
        <v>224.91000000000008</v>
      </c>
      <c r="AG27" s="96">
        <f>AG20</f>
        <v>1348.2</v>
      </c>
      <c r="AH27" s="96">
        <f>AH20</f>
        <v>1329.3</v>
      </c>
      <c r="AI27" s="141">
        <f>AI20</f>
        <v>1545</v>
      </c>
      <c r="AJ27" s="141">
        <f>AJ20</f>
        <v>1650.06</v>
      </c>
      <c r="AK27" s="141">
        <f>AK20</f>
        <v>1950</v>
      </c>
      <c r="AL27" s="141">
        <f aca="true" t="shared" si="49" ref="AL27:AP28">AL26</f>
        <v>2076.75</v>
      </c>
      <c r="AM27" s="142">
        <f t="shared" si="49"/>
        <v>1524</v>
      </c>
      <c r="AN27" s="141">
        <f t="shared" si="49"/>
        <v>1607.82</v>
      </c>
      <c r="AO27" s="142">
        <f t="shared" si="49"/>
        <v>1812</v>
      </c>
      <c r="AP27" s="141">
        <f t="shared" si="49"/>
        <v>1671.94</v>
      </c>
      <c r="AQ27" s="8">
        <f t="shared" si="17"/>
        <v>2083.7999999999997</v>
      </c>
      <c r="AS27" s="8">
        <f t="shared" si="18"/>
        <v>2083.7999999999997</v>
      </c>
      <c r="AT27" s="8">
        <f t="shared" si="19"/>
        <v>2174.4</v>
      </c>
      <c r="AU27" s="8">
        <f t="shared" si="20"/>
        <v>2174.4</v>
      </c>
      <c r="AV27" s="8">
        <f t="shared" si="21"/>
        <v>2355.6</v>
      </c>
      <c r="AW27" s="8">
        <f t="shared" si="22"/>
        <v>2355.6</v>
      </c>
      <c r="AX27" s="8">
        <f t="shared" si="23"/>
        <v>2536.7999999999997</v>
      </c>
      <c r="AY27" s="8">
        <f t="shared" si="24"/>
        <v>2536.7999999999997</v>
      </c>
      <c r="AZ27" s="8">
        <f t="shared" si="25"/>
        <v>2718</v>
      </c>
      <c r="BA27" s="8">
        <f t="shared" si="26"/>
        <v>2718</v>
      </c>
      <c r="BB27" s="8">
        <f t="shared" si="27"/>
        <v>2899.2000000000003</v>
      </c>
      <c r="BC27" s="8">
        <f t="shared" si="28"/>
        <v>2899.2000000000003</v>
      </c>
      <c r="BD27" s="8">
        <f t="shared" si="29"/>
        <v>3080.4</v>
      </c>
      <c r="BE27" s="8">
        <f t="shared" si="30"/>
        <v>3080.4</v>
      </c>
      <c r="BF27" s="8">
        <f t="shared" si="31"/>
        <v>3261.6</v>
      </c>
      <c r="BG27" s="8">
        <f t="shared" si="32"/>
        <v>3261.6</v>
      </c>
      <c r="BH27" s="8">
        <f t="shared" si="33"/>
        <v>3624</v>
      </c>
      <c r="BI27" s="8">
        <f t="shared" si="34"/>
        <v>3624</v>
      </c>
      <c r="DB27" s="96">
        <f>DB20</f>
        <v>1650.06</v>
      </c>
      <c r="DC27" s="96">
        <f>DC20</f>
        <v>1950</v>
      </c>
      <c r="DD27" s="96">
        <v>1560</v>
      </c>
      <c r="DE27" s="96">
        <f t="shared" si="35"/>
        <v>300</v>
      </c>
      <c r="DF27" s="96">
        <f>DF20</f>
        <v>1452</v>
      </c>
      <c r="DG27" s="96">
        <f t="shared" si="36"/>
        <v>192</v>
      </c>
      <c r="DH27" s="96">
        <f>DH26</f>
        <v>1794</v>
      </c>
      <c r="DI27" s="96">
        <f t="shared" si="37"/>
        <v>234</v>
      </c>
    </row>
    <row r="28" spans="1:113" ht="38.25">
      <c r="A28" s="146" t="s">
        <v>127</v>
      </c>
      <c r="B28" s="53" t="s">
        <v>126</v>
      </c>
      <c r="C28" s="54">
        <f>'[2]Труд_по старости'!B$8</f>
        <v>450</v>
      </c>
      <c r="D28" s="54">
        <f>'[2]Труд_по старости'!C$8</f>
        <v>479.25</v>
      </c>
      <c r="E28" s="54">
        <f>'[2]Труд_по старости'!D$8</f>
        <v>522.38</v>
      </c>
      <c r="F28" s="54">
        <f>G28-E28</f>
        <v>31.340000000000032</v>
      </c>
      <c r="G28" s="54">
        <f>'[2]Труд_по старости'!F$8</f>
        <v>553.72</v>
      </c>
      <c r="H28" s="59">
        <f>ROUND(G28*1.08,2)</f>
        <v>598.02</v>
      </c>
      <c r="I28" s="54">
        <f>H28-E28</f>
        <v>75.63999999999999</v>
      </c>
      <c r="J28" s="54">
        <f>ROUND(H28*J$5,2)</f>
        <v>621</v>
      </c>
      <c r="K28" s="53">
        <f>J28-H28</f>
        <v>22.980000000000018</v>
      </c>
      <c r="L28" s="54">
        <v>660</v>
      </c>
      <c r="M28" s="59">
        <f>L28-H28</f>
        <v>61.98000000000002</v>
      </c>
      <c r="N28" s="59">
        <f t="shared" si="39"/>
        <v>900</v>
      </c>
      <c r="O28" s="59">
        <f t="shared" si="40"/>
        <v>240</v>
      </c>
      <c r="P28" s="147">
        <f>'[2]Труд_по старости'!O8</f>
        <v>900</v>
      </c>
      <c r="Q28" s="137">
        <f t="shared" si="41"/>
        <v>240</v>
      </c>
      <c r="R28" s="137">
        <f t="shared" si="42"/>
        <v>1035</v>
      </c>
      <c r="S28" s="137">
        <f t="shared" si="43"/>
        <v>1242</v>
      </c>
      <c r="T28" s="137">
        <f t="shared" si="44"/>
        <v>1800</v>
      </c>
      <c r="U28" s="61">
        <f>ROUND(Q28*1.38,0)</f>
        <v>331</v>
      </c>
      <c r="V28" s="59">
        <f t="shared" si="45"/>
        <v>480</v>
      </c>
      <c r="W28" s="96">
        <f>W26</f>
        <v>954</v>
      </c>
      <c r="X28" s="96">
        <f>ROUND(W28*X$5,2)</f>
        <v>1011.24</v>
      </c>
      <c r="Y28" s="96">
        <f>ROUND(W28*1.085,2)</f>
        <v>1035.09</v>
      </c>
      <c r="Z28" s="96">
        <f>X28-W28</f>
        <v>57.24000000000001</v>
      </c>
      <c r="AA28" s="96">
        <f>Y28-W28</f>
        <v>81.08999999999992</v>
      </c>
      <c r="AB28" s="96">
        <f>AB27</f>
        <v>1112.72</v>
      </c>
      <c r="AC28" s="141">
        <f>AB28-Y28</f>
        <v>77.63000000000011</v>
      </c>
      <c r="AD28" s="96">
        <f>AD27</f>
        <v>1260</v>
      </c>
      <c r="AE28" s="141">
        <f>AD28-AB28</f>
        <v>147.27999999999997</v>
      </c>
      <c r="AF28" s="96">
        <f>AD28-Y28</f>
        <v>224.91000000000008</v>
      </c>
      <c r="AG28" s="96">
        <f>AG20</f>
        <v>1348.2</v>
      </c>
      <c r="AH28" s="96">
        <f>AH20</f>
        <v>1329.3</v>
      </c>
      <c r="AI28" s="141">
        <f>AI20</f>
        <v>1545</v>
      </c>
      <c r="AJ28" s="141">
        <f>AJ27</f>
        <v>1650.06</v>
      </c>
      <c r="AK28" s="141">
        <f>AK20</f>
        <v>1950</v>
      </c>
      <c r="AL28" s="141">
        <f t="shared" si="49"/>
        <v>2076.75</v>
      </c>
      <c r="AM28" s="142">
        <f t="shared" si="49"/>
        <v>1524</v>
      </c>
      <c r="AN28" s="141">
        <f t="shared" si="49"/>
        <v>1607.82</v>
      </c>
      <c r="AO28" s="142">
        <f t="shared" si="49"/>
        <v>1812</v>
      </c>
      <c r="AP28" s="141">
        <f t="shared" si="49"/>
        <v>1671.94</v>
      </c>
      <c r="AQ28" s="8">
        <f t="shared" si="17"/>
        <v>2083.7999999999997</v>
      </c>
      <c r="AS28" s="8">
        <f t="shared" si="18"/>
        <v>2083.7999999999997</v>
      </c>
      <c r="AT28" s="8">
        <f t="shared" si="19"/>
        <v>2174.4</v>
      </c>
      <c r="AU28" s="8">
        <f t="shared" si="20"/>
        <v>2174.4</v>
      </c>
      <c r="AV28" s="8">
        <f t="shared" si="21"/>
        <v>2355.6</v>
      </c>
      <c r="AW28" s="8">
        <f t="shared" si="22"/>
        <v>2355.6</v>
      </c>
      <c r="AX28" s="8">
        <f t="shared" si="23"/>
        <v>2536.7999999999997</v>
      </c>
      <c r="AY28" s="8">
        <f t="shared" si="24"/>
        <v>2536.7999999999997</v>
      </c>
      <c r="AZ28" s="8">
        <f t="shared" si="25"/>
        <v>2718</v>
      </c>
      <c r="BA28" s="8">
        <f t="shared" si="26"/>
        <v>2718</v>
      </c>
      <c r="BB28" s="8">
        <f t="shared" si="27"/>
        <v>2899.2000000000003</v>
      </c>
      <c r="BC28" s="8">
        <f t="shared" si="28"/>
        <v>2899.2000000000003</v>
      </c>
      <c r="BD28" s="8">
        <f t="shared" si="29"/>
        <v>3080.4</v>
      </c>
      <c r="BE28" s="8">
        <f t="shared" si="30"/>
        <v>3080.4</v>
      </c>
      <c r="BF28" s="8">
        <f t="shared" si="31"/>
        <v>3261.6</v>
      </c>
      <c r="BG28" s="8">
        <f t="shared" si="32"/>
        <v>3261.6</v>
      </c>
      <c r="BH28" s="8">
        <f t="shared" si="33"/>
        <v>3624</v>
      </c>
      <c r="BI28" s="8">
        <f t="shared" si="34"/>
        <v>3624</v>
      </c>
      <c r="DB28" s="96">
        <f>DB20</f>
        <v>1650.06</v>
      </c>
      <c r="DC28" s="96">
        <f>DC20</f>
        <v>1950</v>
      </c>
      <c r="DD28" s="96">
        <v>1560</v>
      </c>
      <c r="DE28" s="96">
        <f t="shared" si="35"/>
        <v>300</v>
      </c>
      <c r="DF28" s="96">
        <f>DF27</f>
        <v>1452</v>
      </c>
      <c r="DG28" s="96">
        <f t="shared" si="36"/>
        <v>192</v>
      </c>
      <c r="DH28" s="96">
        <f>DH26</f>
        <v>1794</v>
      </c>
      <c r="DI28" s="96">
        <f t="shared" si="37"/>
        <v>234</v>
      </c>
    </row>
    <row r="29" spans="1:113" ht="27" customHeight="1" hidden="1">
      <c r="A29" s="165" t="s">
        <v>128</v>
      </c>
      <c r="B29" s="165"/>
      <c r="C29" s="165"/>
      <c r="D29" s="165"/>
      <c r="E29" s="165"/>
      <c r="F29" s="165"/>
      <c r="G29" s="165"/>
      <c r="H29" s="165"/>
      <c r="I29" s="165"/>
      <c r="J29" s="62"/>
      <c r="K29" s="62"/>
      <c r="L29" s="62"/>
      <c r="M29" s="62"/>
      <c r="N29" s="8">
        <f t="shared" si="39"/>
        <v>0</v>
      </c>
      <c r="O29" s="8">
        <f t="shared" si="40"/>
        <v>0</v>
      </c>
      <c r="Q29" s="86">
        <f t="shared" si="41"/>
        <v>0</v>
      </c>
      <c r="R29" s="62">
        <f t="shared" si="42"/>
        <v>0</v>
      </c>
      <c r="S29" s="86">
        <f t="shared" si="43"/>
        <v>0</v>
      </c>
      <c r="T29" s="62">
        <f t="shared" si="44"/>
        <v>0</v>
      </c>
      <c r="V29" s="8">
        <f t="shared" si="45"/>
        <v>0</v>
      </c>
      <c r="AT29" s="8">
        <f t="shared" si="19"/>
        <v>0</v>
      </c>
      <c r="AU29" s="8">
        <f t="shared" si="20"/>
        <v>0</v>
      </c>
      <c r="AV29" s="8">
        <f t="shared" si="21"/>
        <v>0</v>
      </c>
      <c r="AW29" s="8">
        <f t="shared" si="22"/>
        <v>0</v>
      </c>
      <c r="AX29" s="8">
        <f t="shared" si="23"/>
        <v>0</v>
      </c>
      <c r="AZ29" s="8">
        <f t="shared" si="25"/>
        <v>0</v>
      </c>
      <c r="BB29" s="8">
        <f t="shared" si="27"/>
        <v>0</v>
      </c>
      <c r="BC29" s="8">
        <f t="shared" si="28"/>
        <v>0</v>
      </c>
      <c r="BD29" s="8">
        <f t="shared" si="29"/>
        <v>0</v>
      </c>
      <c r="BE29" s="8">
        <f t="shared" si="30"/>
        <v>0</v>
      </c>
      <c r="BF29" s="8">
        <f t="shared" si="31"/>
        <v>0</v>
      </c>
      <c r="BG29" s="8">
        <f t="shared" si="32"/>
        <v>0</v>
      </c>
      <c r="BH29" s="8">
        <f t="shared" si="33"/>
        <v>0</v>
      </c>
      <c r="BI29" s="8">
        <f t="shared" si="34"/>
        <v>0</v>
      </c>
      <c r="DE29" s="8">
        <f t="shared" si="35"/>
        <v>0</v>
      </c>
      <c r="DI29" s="8">
        <f t="shared" si="37"/>
        <v>0</v>
      </c>
    </row>
    <row r="30" spans="1:9" ht="27" customHeight="1" hidden="1">
      <c r="A30" s="165" t="s">
        <v>108</v>
      </c>
      <c r="B30" s="165"/>
      <c r="C30" s="165"/>
      <c r="D30" s="165"/>
      <c r="E30" s="165"/>
      <c r="F30" s="165"/>
      <c r="G30" s="165"/>
      <c r="H30" s="165"/>
      <c r="I30" s="165"/>
    </row>
    <row r="31" spans="1:9" ht="12.75" hidden="1">
      <c r="A31" s="158"/>
      <c r="B31" s="158"/>
      <c r="C31" s="158"/>
      <c r="D31" s="158"/>
      <c r="E31" s="158"/>
      <c r="F31" s="158"/>
      <c r="G31" s="158"/>
      <c r="H31" s="158"/>
      <c r="I31" s="158"/>
    </row>
    <row r="32" spans="1:9" ht="12.75" hidden="1">
      <c r="A32" s="158"/>
      <c r="B32" s="158"/>
      <c r="C32" s="158"/>
      <c r="D32" s="158"/>
      <c r="E32" s="158"/>
      <c r="F32" s="158"/>
      <c r="G32" s="158"/>
      <c r="H32" s="158"/>
      <c r="I32" s="158"/>
    </row>
  </sheetData>
  <mergeCells count="5">
    <mergeCell ref="A1:DE1"/>
    <mergeCell ref="A30:I32"/>
    <mergeCell ref="A29:I29"/>
    <mergeCell ref="A6:K6"/>
    <mergeCell ref="A18:K18"/>
  </mergeCells>
  <printOptions horizontalCentered="1"/>
  <pageMargins left="0" right="0" top="0.7874015748031497" bottom="0.3937007874015748" header="0.31496062992125984" footer="0.31496062992125984"/>
  <pageSetup horizontalDpi="600" verticalDpi="600" orientation="landscape" paperSize="9" scale="85" r:id="rId1"/>
  <headerFooter alignWithMargins="0">
    <oddFooter>&amp;L&amp;8&amp;F&amp;R&amp;8&amp;D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U39"/>
  <sheetViews>
    <sheetView showZeros="0" workbookViewId="0" topLeftCell="A1">
      <selection activeCell="M37" sqref="A37:IV39"/>
    </sheetView>
  </sheetViews>
  <sheetFormatPr defaultColWidth="9.00390625" defaultRowHeight="12.75"/>
  <cols>
    <col min="1" max="1" width="34.125" style="0" customWidth="1"/>
    <col min="2" max="2" width="18.875" style="0" customWidth="1"/>
    <col min="3" max="3" width="9.25390625" style="0" hidden="1" customWidth="1"/>
    <col min="4" max="9" width="9.125" style="0" hidden="1" customWidth="1"/>
    <col min="10" max="12" width="10.125" style="0" hidden="1" customWidth="1"/>
    <col min="13" max="13" width="11.125" style="0" hidden="1" customWidth="1"/>
    <col min="14" max="14" width="9.125" style="0" hidden="1" customWidth="1"/>
    <col min="15" max="15" width="12.00390625" style="0" hidden="1" customWidth="1"/>
    <col min="16" max="17" width="9.125" style="0" hidden="1" customWidth="1"/>
    <col min="18" max="18" width="11.375" style="0" hidden="1" customWidth="1"/>
    <col min="19" max="19" width="9.125" style="0" hidden="1" customWidth="1"/>
    <col min="20" max="20" width="10.75390625" style="0" hidden="1" customWidth="1"/>
    <col min="21" max="21" width="9.125" style="0" hidden="1" customWidth="1"/>
    <col min="22" max="22" width="10.875" style="0" hidden="1" customWidth="1"/>
    <col min="23" max="23" width="11.25390625" style="0" hidden="1" customWidth="1"/>
    <col min="24" max="24" width="10.875" style="0" hidden="1" customWidth="1"/>
    <col min="25" max="25" width="10.375" style="0" hidden="1" customWidth="1"/>
    <col min="26" max="26" width="9.125" style="0" hidden="1" customWidth="1"/>
    <col min="27" max="27" width="11.75390625" style="0" hidden="1" customWidth="1"/>
    <col min="28" max="28" width="12.75390625" style="0" hidden="1" customWidth="1"/>
    <col min="29" max="29" width="12.00390625" style="0" customWidth="1"/>
    <col min="30" max="30" width="12.375" style="0" hidden="1" customWidth="1"/>
    <col min="31" max="35" width="9.125" style="0" hidden="1" customWidth="1"/>
    <col min="36" max="36" width="8.875" style="0" hidden="1" customWidth="1"/>
    <col min="37" max="37" width="6.75390625" style="0" hidden="1" customWidth="1"/>
    <col min="38" max="38" width="9.625" style="0" hidden="1" customWidth="1"/>
    <col min="39" max="39" width="8.125" style="0" hidden="1" customWidth="1"/>
    <col min="40" max="40" width="7.75390625" style="0" hidden="1" customWidth="1"/>
    <col min="41" max="41" width="8.75390625" style="0" hidden="1" customWidth="1"/>
    <col min="42" max="43" width="9.125" style="0" hidden="1" customWidth="1"/>
    <col min="44" max="44" width="7.625" style="0" hidden="1" customWidth="1"/>
    <col min="45" max="45" width="8.625" style="0" hidden="1" customWidth="1"/>
    <col min="46" max="46" width="7.375" style="0" hidden="1" customWidth="1"/>
    <col min="47" max="47" width="8.25390625" style="0" hidden="1" customWidth="1"/>
    <col min="48" max="48" width="7.625" style="0" hidden="1" customWidth="1"/>
    <col min="49" max="49" width="9.00390625" style="0" hidden="1" customWidth="1"/>
    <col min="50" max="50" width="7.00390625" style="0" hidden="1" customWidth="1"/>
    <col min="51" max="51" width="8.625" style="0" hidden="1" customWidth="1"/>
    <col min="52" max="52" width="7.875" style="0" hidden="1" customWidth="1"/>
    <col min="53" max="53" width="8.25390625" style="0" hidden="1" customWidth="1"/>
    <col min="54" max="54" width="8.00390625" style="0" hidden="1" customWidth="1"/>
    <col min="55" max="55" width="9.625" style="0" hidden="1" customWidth="1"/>
    <col min="56" max="56" width="7.875" style="0" hidden="1" customWidth="1"/>
    <col min="57" max="57" width="8.375" style="0" hidden="1" customWidth="1"/>
    <col min="58" max="119" width="9.125" style="0" hidden="1" customWidth="1"/>
    <col min="120" max="120" width="10.375" style="0" customWidth="1"/>
    <col min="121" max="121" width="12.75390625" style="0" customWidth="1"/>
    <col min="122" max="122" width="11.00390625" style="0" hidden="1" customWidth="1"/>
    <col min="123" max="123" width="12.375" style="0" hidden="1" customWidth="1"/>
    <col min="124" max="124" width="11.875" style="0" hidden="1" customWidth="1"/>
    <col min="125" max="125" width="12.375" style="0" hidden="1" customWidth="1"/>
  </cols>
  <sheetData>
    <row r="1" spans="1:121" s="1" customFormat="1" ht="45" customHeight="1">
      <c r="A1" s="169" t="s">
        <v>129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</row>
    <row r="2" spans="1:122" ht="12.75">
      <c r="A2" s="2"/>
      <c r="I2" s="4"/>
      <c r="L2" s="4" t="s">
        <v>6</v>
      </c>
      <c r="O2" s="5"/>
      <c r="P2" s="5"/>
      <c r="Q2" s="5"/>
      <c r="R2" s="6" t="s">
        <v>7</v>
      </c>
      <c r="S2" s="5"/>
      <c r="T2" t="s">
        <v>8</v>
      </c>
      <c r="W2" s="7" t="s">
        <v>9</v>
      </c>
      <c r="X2" s="8"/>
      <c r="Y2" t="s">
        <v>10</v>
      </c>
      <c r="AF2" t="s">
        <v>11</v>
      </c>
      <c r="AH2" t="s">
        <v>11</v>
      </c>
      <c r="DR2" t="s">
        <v>12</v>
      </c>
    </row>
    <row r="3" spans="1:125" s="11" customFormat="1" ht="44.25" customHeight="1">
      <c r="A3" s="130" t="s">
        <v>16</v>
      </c>
      <c r="B3" s="130" t="s">
        <v>98</v>
      </c>
      <c r="C3" s="130" t="s">
        <v>17</v>
      </c>
      <c r="D3" s="130" t="s">
        <v>18</v>
      </c>
      <c r="E3" s="130" t="s">
        <v>19</v>
      </c>
      <c r="F3" s="9" t="s">
        <v>20</v>
      </c>
      <c r="G3" s="9" t="s">
        <v>21</v>
      </c>
      <c r="H3" s="9" t="s">
        <v>22</v>
      </c>
      <c r="I3" s="9" t="s">
        <v>23</v>
      </c>
      <c r="J3" s="9" t="s">
        <v>24</v>
      </c>
      <c r="K3" s="9" t="s">
        <v>26</v>
      </c>
      <c r="L3" s="9" t="s">
        <v>25</v>
      </c>
      <c r="M3" s="9" t="s">
        <v>93</v>
      </c>
      <c r="N3" s="9" t="s">
        <v>81</v>
      </c>
      <c r="O3" s="9" t="s">
        <v>82</v>
      </c>
      <c r="P3" s="10" t="s">
        <v>28</v>
      </c>
      <c r="Q3" s="10" t="s">
        <v>30</v>
      </c>
      <c r="R3" s="10" t="s">
        <v>31</v>
      </c>
      <c r="S3" s="10" t="s">
        <v>32</v>
      </c>
      <c r="T3" s="10" t="s">
        <v>31</v>
      </c>
      <c r="U3" s="10" t="s">
        <v>32</v>
      </c>
      <c r="V3" s="9" t="s">
        <v>33</v>
      </c>
      <c r="W3" s="9" t="s">
        <v>35</v>
      </c>
      <c r="X3" s="9" t="s">
        <v>35</v>
      </c>
      <c r="Y3" s="9" t="s">
        <v>36</v>
      </c>
      <c r="Z3" s="9" t="s">
        <v>37</v>
      </c>
      <c r="AA3" s="9" t="s">
        <v>38</v>
      </c>
      <c r="AB3" s="9" t="s">
        <v>86</v>
      </c>
      <c r="AC3" s="9" t="s">
        <v>40</v>
      </c>
      <c r="AD3" s="9" t="s">
        <v>87</v>
      </c>
      <c r="AE3" s="9" t="s">
        <v>88</v>
      </c>
      <c r="AF3" s="9" t="s">
        <v>43</v>
      </c>
      <c r="AG3" s="9" t="s">
        <v>43</v>
      </c>
      <c r="AH3" s="9" t="s">
        <v>44</v>
      </c>
      <c r="AI3" s="9" t="s">
        <v>44</v>
      </c>
      <c r="AJ3" s="9" t="s">
        <v>45</v>
      </c>
      <c r="AK3" s="9" t="s">
        <v>48</v>
      </c>
      <c r="AL3" s="9" t="s">
        <v>49</v>
      </c>
      <c r="AM3" s="63" t="s">
        <v>53</v>
      </c>
      <c r="AN3" s="12" t="s">
        <v>100</v>
      </c>
      <c r="AO3" s="63" t="s">
        <v>55</v>
      </c>
      <c r="AP3" s="63" t="s">
        <v>56</v>
      </c>
      <c r="AQ3" s="63" t="s">
        <v>55</v>
      </c>
      <c r="AR3" s="63" t="s">
        <v>57</v>
      </c>
      <c r="AS3" s="63" t="s">
        <v>55</v>
      </c>
      <c r="AT3" s="63" t="s">
        <v>58</v>
      </c>
      <c r="AU3" s="63" t="s">
        <v>55</v>
      </c>
      <c r="AV3" s="63" t="s">
        <v>59</v>
      </c>
      <c r="AW3" s="63" t="s">
        <v>55</v>
      </c>
      <c r="AX3" s="63" t="s">
        <v>60</v>
      </c>
      <c r="AY3" s="63" t="s">
        <v>55</v>
      </c>
      <c r="AZ3" s="63" t="s">
        <v>61</v>
      </c>
      <c r="BA3" s="63" t="s">
        <v>55</v>
      </c>
      <c r="BB3" s="63" t="s">
        <v>62</v>
      </c>
      <c r="BC3" s="63" t="s">
        <v>55</v>
      </c>
      <c r="BD3" s="63" t="s">
        <v>63</v>
      </c>
      <c r="BE3" s="63" t="s">
        <v>55</v>
      </c>
      <c r="BF3" s="9" t="s">
        <v>45</v>
      </c>
      <c r="BG3" s="9" t="s">
        <v>48</v>
      </c>
      <c r="DP3" s="9" t="s">
        <v>64</v>
      </c>
      <c r="DQ3" s="12" t="s">
        <v>65</v>
      </c>
      <c r="DR3" s="9" t="s">
        <v>66</v>
      </c>
      <c r="DS3" s="12" t="s">
        <v>67</v>
      </c>
      <c r="DT3" s="9" t="s">
        <v>68</v>
      </c>
      <c r="DU3" s="12" t="s">
        <v>69</v>
      </c>
    </row>
    <row r="4" spans="1:125" s="71" customFormat="1" ht="15.75" customHeight="1">
      <c r="A4" s="131" t="s">
        <v>70</v>
      </c>
      <c r="B4" s="131"/>
      <c r="C4" s="131"/>
      <c r="D4" s="107">
        <v>1.065</v>
      </c>
      <c r="E4" s="107">
        <v>1.09</v>
      </c>
      <c r="F4" s="18">
        <v>1.161</v>
      </c>
      <c r="G4" s="21">
        <v>1.06</v>
      </c>
      <c r="H4" s="17">
        <v>1.08</v>
      </c>
      <c r="I4" s="18">
        <v>1.145</v>
      </c>
      <c r="J4" s="19">
        <v>1.0384268</v>
      </c>
      <c r="K4" s="19">
        <f>ROUND(660/621,8)</f>
        <v>1.06280193</v>
      </c>
      <c r="L4" s="19">
        <f>J4*K4</f>
        <v>1.103642007203724</v>
      </c>
      <c r="M4" s="66">
        <f>'[2]Гос_обесп(участн. ВОВ и социал)'!N5</f>
        <v>1.36363636</v>
      </c>
      <c r="N4" s="17"/>
      <c r="O4" s="17">
        <v>1.36363636</v>
      </c>
      <c r="P4" s="26"/>
      <c r="Q4" s="26"/>
      <c r="R4" s="26"/>
      <c r="S4" s="26"/>
      <c r="T4" s="132"/>
      <c r="U4" s="17"/>
      <c r="V4" s="17">
        <v>1.06</v>
      </c>
      <c r="W4" s="17">
        <v>1.06</v>
      </c>
      <c r="X4" s="17">
        <v>1.085</v>
      </c>
      <c r="Y4" s="16"/>
      <c r="Z4" s="16"/>
      <c r="AA4" s="26">
        <v>1.075</v>
      </c>
      <c r="AB4" s="16"/>
      <c r="AC4" s="20">
        <f>1260/1112.72</f>
        <v>1.132360342224459</v>
      </c>
      <c r="AD4" s="27"/>
      <c r="AE4" s="112"/>
      <c r="AF4" s="26">
        <v>1.07</v>
      </c>
      <c r="AG4" s="17">
        <v>1.055</v>
      </c>
      <c r="AH4" s="17">
        <f>'[2]Гос_обесп(участн. ВОВ и социал)'!AI5</f>
        <v>1.1459724076546507</v>
      </c>
      <c r="AI4" s="17">
        <v>1.1464680658993456</v>
      </c>
      <c r="AJ4" s="17">
        <v>1.055</v>
      </c>
      <c r="AK4" s="17">
        <v>1.1269918274433706</v>
      </c>
      <c r="AL4" s="17">
        <v>1.0970734908136481</v>
      </c>
      <c r="BF4" s="99">
        <v>1.068</v>
      </c>
      <c r="BG4" s="63">
        <f>'[2]Гос_обесп(участн. ВОВ и социал)'!DC5</f>
        <v>1.18177521</v>
      </c>
      <c r="DP4" s="26">
        <f>1560/1260</f>
        <v>1.2380952380952381</v>
      </c>
      <c r="DQ4" s="27"/>
      <c r="DR4" s="26">
        <f>1452/1260</f>
        <v>1.1523809523809523</v>
      </c>
      <c r="DS4" s="27"/>
      <c r="DT4" s="17">
        <f>1794/1560</f>
        <v>1.15</v>
      </c>
      <c r="DU4" s="27"/>
    </row>
    <row r="5" spans="1:125" ht="15.75" customHeight="1">
      <c r="A5" s="170" t="s">
        <v>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34"/>
      <c r="N5" s="34"/>
      <c r="O5" s="34"/>
      <c r="P5" s="35"/>
      <c r="Q5" s="35"/>
      <c r="R5" s="35"/>
      <c r="S5" s="35"/>
      <c r="U5" s="34"/>
      <c r="V5" s="33"/>
      <c r="W5" s="34"/>
      <c r="X5" s="34"/>
      <c r="Y5" s="34"/>
      <c r="Z5" s="34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BF5" s="36"/>
      <c r="BG5" s="36"/>
      <c r="DP5" s="37"/>
      <c r="DQ5" s="37"/>
      <c r="DR5" s="37"/>
      <c r="DS5" s="37"/>
      <c r="DT5" s="37"/>
      <c r="DU5" s="36"/>
    </row>
    <row r="6" spans="1:125" ht="12.75">
      <c r="A6" s="32" t="s">
        <v>130</v>
      </c>
      <c r="B6" s="32" t="s">
        <v>131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5"/>
      <c r="Q6" s="35"/>
      <c r="R6" s="35"/>
      <c r="S6" s="35"/>
      <c r="U6" s="34"/>
      <c r="V6" s="33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BF6" s="35"/>
      <c r="BG6" s="35"/>
      <c r="DP6" s="34"/>
      <c r="DQ6" s="34"/>
      <c r="DR6" s="34"/>
      <c r="DS6" s="34"/>
      <c r="DT6" s="34"/>
      <c r="DU6" s="35"/>
    </row>
    <row r="7" spans="1:125" ht="12.75">
      <c r="A7" s="34" t="s">
        <v>73</v>
      </c>
      <c r="B7" s="34"/>
      <c r="C7" s="44">
        <f>ROUND('[2]Труд_по старости'!B8*2.5,2)</f>
        <v>1125</v>
      </c>
      <c r="D7" s="44">
        <f>ROUND('[2]Труд_по старости'!C8*2.5,2)</f>
        <v>1198.13</v>
      </c>
      <c r="E7" s="44">
        <f>ROUND('[2]Труд_по старости'!D8*2.5,2)</f>
        <v>1305.95</v>
      </c>
      <c r="F7" s="44">
        <f aca="true" t="shared" si="0" ref="F7:F15">G7-E7</f>
        <v>78.34999999999991</v>
      </c>
      <c r="G7" s="44">
        <f>ROUND('[2]Труд_по старости'!F8*2.5,2)</f>
        <v>1384.3</v>
      </c>
      <c r="H7" s="33">
        <f aca="true" t="shared" si="1" ref="H7:H15">ROUND(G7*1.08,2)</f>
        <v>1495.04</v>
      </c>
      <c r="I7" s="44">
        <f aca="true" t="shared" si="2" ref="I7:I15">H7-E7</f>
        <v>189.08999999999992</v>
      </c>
      <c r="J7" s="34">
        <f aca="true" t="shared" si="3" ref="J7:J15">ROUND(H7*J$4,2)</f>
        <v>1552.49</v>
      </c>
      <c r="K7" s="45">
        <f>'[2]Гос_обесп(участн. ВОВ и социал)'!L8</f>
        <v>1650</v>
      </c>
      <c r="L7" s="45">
        <f>K7-H7</f>
        <v>154.96000000000004</v>
      </c>
      <c r="M7" s="45">
        <f>ROUND('[2]Труд_по старости'!M8*2.5,2)</f>
        <v>2250</v>
      </c>
      <c r="N7" s="45">
        <f aca="true" t="shared" si="4" ref="N7:N35">M7-K7</f>
        <v>600</v>
      </c>
      <c r="O7" s="115">
        <f>ROUND('[2]Труд_по старости'!O8*2.5,2)</f>
        <v>2250</v>
      </c>
      <c r="P7" s="48">
        <f aca="true" t="shared" si="5" ref="P7:P35">O7-K7</f>
        <v>600</v>
      </c>
      <c r="Q7" s="48">
        <f aca="true" t="shared" si="6" ref="Q7:Q35">ROUND(O7*1.15,2)</f>
        <v>2587.5</v>
      </c>
      <c r="R7" s="48">
        <f aca="true" t="shared" si="7" ref="R7:R35">ROUND(O7*1.38,2)</f>
        <v>3105</v>
      </c>
      <c r="S7" s="48">
        <f aca="true" t="shared" si="8" ref="S7:S35">ROUND(O7*2,2)</f>
        <v>4500</v>
      </c>
      <c r="T7" s="8">
        <f aca="true" t="shared" si="9" ref="T7:T35">ROUND(P7*1.38,0)</f>
        <v>828</v>
      </c>
      <c r="U7" s="33">
        <f aca="true" t="shared" si="10" ref="U7:U35">ROUND(P7*2,0)</f>
        <v>1200</v>
      </c>
      <c r="V7" s="33">
        <f>ROUND('[2]Труд_по старости'!X8*2.5,2)</f>
        <v>2385</v>
      </c>
      <c r="W7" s="33">
        <f aca="true" t="shared" si="11" ref="W7:W35">V7*1.06</f>
        <v>2528.1</v>
      </c>
      <c r="X7" s="33">
        <f>ROUND('[2]Труд_по старости'!AA8*2.5,2)</f>
        <v>2587.73</v>
      </c>
      <c r="Y7" s="33">
        <f aca="true" t="shared" si="12" ref="Y7:Y35">W7-V7</f>
        <v>143.0999999999999</v>
      </c>
      <c r="Z7" s="33">
        <f aca="true" t="shared" si="13" ref="Z7:Z35">X7-V7</f>
        <v>202.73000000000002</v>
      </c>
      <c r="AA7" s="42">
        <f>2.5*'[2]Труд_по старости'!AD8</f>
        <v>2781.8</v>
      </c>
      <c r="AB7" s="42">
        <f aca="true" t="shared" si="14" ref="AB7:AB35">AA7-X7</f>
        <v>194.07000000000016</v>
      </c>
      <c r="AC7" s="33">
        <f>2.5*'[2]Труд_по старости'!AF8</f>
        <v>3150</v>
      </c>
      <c r="AD7" s="42">
        <f aca="true" t="shared" si="15" ref="AD7:AD35">AC7-AA7</f>
        <v>368.1999999999998</v>
      </c>
      <c r="AE7" s="33">
        <f aca="true" t="shared" si="16" ref="AE7:AE35">AC7-X7</f>
        <v>562.27</v>
      </c>
      <c r="AF7" s="42">
        <f>ROUND(2.5*'[2]Труд_по старости'!AI8,2)</f>
        <v>3370.5</v>
      </c>
      <c r="AG7" s="42">
        <f>2.5*'[2]Труд_по старости'!AJ8</f>
        <v>3323.25</v>
      </c>
      <c r="AH7" s="42">
        <f>ROUND(2.5*'[2]Труд_по старости'!AK8,2)</f>
        <v>3862.5</v>
      </c>
      <c r="AI7" s="33">
        <f>2.5*'[2]Труд_по старости'!AL8</f>
        <v>3810</v>
      </c>
      <c r="AJ7" s="33">
        <f>2.5*'[2]Труд_по старости'!AQ8</f>
        <v>4019.5499999999997</v>
      </c>
      <c r="AK7" s="33">
        <f>2.5*'[2]Труд_по старости'!AR8</f>
        <v>4530</v>
      </c>
      <c r="AL7" s="33">
        <f>2.5*'[2]Труд_по старости'!AS8</f>
        <v>4179.85</v>
      </c>
      <c r="AM7" s="8">
        <f aca="true" t="shared" si="17" ref="AM7:AM35">1.15*AK7</f>
        <v>5209.5</v>
      </c>
      <c r="AN7" s="62">
        <f>1000*1.06*1.085*1.075*1.055*1.055</f>
        <v>1376.0968064374997</v>
      </c>
      <c r="AO7" s="62">
        <f aca="true" t="shared" si="18" ref="AO7:AO35">AM7+AN7</f>
        <v>6585.596806437499</v>
      </c>
      <c r="AP7" s="8">
        <f aca="true" t="shared" si="19" ref="AP7:AP35">1.2*AK7</f>
        <v>5436</v>
      </c>
      <c r="AQ7" s="86">
        <f aca="true" t="shared" si="20" ref="AQ7:AQ35">AP7+AN7</f>
        <v>6812.096806437499</v>
      </c>
      <c r="AR7" s="8">
        <f aca="true" t="shared" si="21" ref="AR7:AR35">1.3*AK7</f>
        <v>5889</v>
      </c>
      <c r="AS7" s="86">
        <f aca="true" t="shared" si="22" ref="AS7:AS35">AR7+AN7</f>
        <v>7265.096806437499</v>
      </c>
      <c r="AT7" s="8">
        <f aca="true" t="shared" si="23" ref="AT7:AT35">1.4*AK7</f>
        <v>6342</v>
      </c>
      <c r="AU7" s="86">
        <f aca="true" t="shared" si="24" ref="AU7:AU34">AT7+AN7</f>
        <v>7718.096806437499</v>
      </c>
      <c r="AV7" s="8">
        <f aca="true" t="shared" si="25" ref="AV7:AV34">1.5*AK7</f>
        <v>6795</v>
      </c>
      <c r="AW7" s="86">
        <f aca="true" t="shared" si="26" ref="AW7:AW35">AV7+AN7</f>
        <v>8171.096806437499</v>
      </c>
      <c r="AX7" s="8">
        <f aca="true" t="shared" si="27" ref="AX7:AX35">1.6*AK7</f>
        <v>7248</v>
      </c>
      <c r="AY7" s="86">
        <f aca="true" t="shared" si="28" ref="AY7:AY35">AX7+AN7</f>
        <v>8624.0968064375</v>
      </c>
      <c r="AZ7" s="8">
        <f aca="true" t="shared" si="29" ref="AZ7:AZ35">1.7*AK7</f>
        <v>7701</v>
      </c>
      <c r="BA7" s="86">
        <f aca="true" t="shared" si="30" ref="BA7:BA35">AZ7+AN7</f>
        <v>9077.0968064375</v>
      </c>
      <c r="BB7" s="8">
        <f aca="true" t="shared" si="31" ref="BB7:BB35">1.8*AK7</f>
        <v>8154</v>
      </c>
      <c r="BC7" s="86">
        <f aca="true" t="shared" si="32" ref="BC7:BC34">BB7+AN7</f>
        <v>9530.0968064375</v>
      </c>
      <c r="BD7" s="8">
        <f aca="true" t="shared" si="33" ref="BD7:BD34">2*AK7</f>
        <v>9060</v>
      </c>
      <c r="BE7" s="86">
        <f aca="true" t="shared" si="34" ref="BE7:BE35">BD7+AN7</f>
        <v>10436.0968064375</v>
      </c>
      <c r="BF7" s="38">
        <f>ROUND(2.5*'[2]Труд_по старости'!DE8,2)</f>
        <v>4125.15</v>
      </c>
      <c r="BG7" s="38">
        <f>ROUND(2.5*'[2]Труд_по старости'!DF8,2)</f>
        <v>4875</v>
      </c>
      <c r="DP7" s="33">
        <f>2.5*'[2]Труд_по старости'!BP8</f>
        <v>3900</v>
      </c>
      <c r="DQ7" s="33">
        <f aca="true" t="shared" si="35" ref="DQ7:DQ35">DP7-AC7</f>
        <v>750</v>
      </c>
      <c r="DR7" s="33">
        <f>2.5*'[2]Труд_по старости'!BR8</f>
        <v>3630</v>
      </c>
      <c r="DS7" s="33">
        <f>DR7-AC7</f>
        <v>480</v>
      </c>
      <c r="DT7" s="33">
        <f>2.5*'[2]Труд_по старости'!BT8</f>
        <v>4485</v>
      </c>
      <c r="DU7" s="38">
        <f aca="true" t="shared" si="36" ref="DU7:DU35">DT7-DP7</f>
        <v>585</v>
      </c>
    </row>
    <row r="8" spans="1:125" ht="12.75">
      <c r="A8" s="34" t="s">
        <v>74</v>
      </c>
      <c r="B8" s="34"/>
      <c r="C8" s="44">
        <f>ROUND('[2]Труд_по старости'!B9*2.5,2)</f>
        <v>1500</v>
      </c>
      <c r="D8" s="44">
        <f>ROUND('[2]Труд_по старости'!C9*2.5,2)</f>
        <v>1597.5</v>
      </c>
      <c r="E8" s="44">
        <f>ROUND('[2]Труд_по старости'!D9*2.5,2)</f>
        <v>1741.28</v>
      </c>
      <c r="F8" s="44">
        <f t="shared" si="0"/>
        <v>104.47000000000003</v>
      </c>
      <c r="G8" s="44">
        <f>ROUND('[2]Труд_по старости'!F9*2.5,2)</f>
        <v>1845.75</v>
      </c>
      <c r="H8" s="33">
        <f t="shared" si="1"/>
        <v>1993.41</v>
      </c>
      <c r="I8" s="44">
        <f t="shared" si="2"/>
        <v>252.1300000000001</v>
      </c>
      <c r="J8" s="34">
        <f t="shared" si="3"/>
        <v>2070.01</v>
      </c>
      <c r="K8" s="33">
        <f>'[2]Гос_обесп(участн. ВОВ и социал)'!L9</f>
        <v>2200</v>
      </c>
      <c r="L8" s="33">
        <f aca="true" t="shared" si="37" ref="L8:L15">J8-H8</f>
        <v>76.60000000000014</v>
      </c>
      <c r="M8" s="33">
        <f>ROUND('[2]Труд_по старости'!M9*2.5,2)</f>
        <v>3000</v>
      </c>
      <c r="N8" s="33">
        <f t="shared" si="4"/>
        <v>800</v>
      </c>
      <c r="O8" s="72">
        <f>ROUND('[2]Труд_по старости'!O9*2.5,2)</f>
        <v>3000</v>
      </c>
      <c r="P8" s="46">
        <f t="shared" si="5"/>
        <v>800</v>
      </c>
      <c r="Q8" s="46">
        <f t="shared" si="6"/>
        <v>3450</v>
      </c>
      <c r="R8" s="46">
        <f t="shared" si="7"/>
        <v>4140</v>
      </c>
      <c r="S8" s="46">
        <f t="shared" si="8"/>
        <v>6000</v>
      </c>
      <c r="T8" s="8">
        <f t="shared" si="9"/>
        <v>1104</v>
      </c>
      <c r="U8" s="33">
        <f t="shared" si="10"/>
        <v>1600</v>
      </c>
      <c r="V8" s="33">
        <f>ROUND('[2]Труд_по старости'!X9*2.5,2)</f>
        <v>3180</v>
      </c>
      <c r="W8" s="33">
        <f t="shared" si="11"/>
        <v>3370.8</v>
      </c>
      <c r="X8" s="33">
        <f>ROUND('[2]Труд_по старости'!AA9*2.5,2)</f>
        <v>3450.3</v>
      </c>
      <c r="Y8" s="33">
        <f t="shared" si="12"/>
        <v>190.80000000000018</v>
      </c>
      <c r="Z8" s="33">
        <f t="shared" si="13"/>
        <v>270.3000000000002</v>
      </c>
      <c r="AA8" s="42">
        <f>2.5*'[2]Труд_по старости'!AD9</f>
        <v>3709.0750000000003</v>
      </c>
      <c r="AB8" s="42">
        <f t="shared" si="14"/>
        <v>258.7750000000001</v>
      </c>
      <c r="AC8" s="33">
        <f>2.5*'[2]Труд_по старости'!AF9</f>
        <v>4200</v>
      </c>
      <c r="AD8" s="42">
        <f t="shared" si="15"/>
        <v>490.9249999999997</v>
      </c>
      <c r="AE8" s="42">
        <f t="shared" si="16"/>
        <v>749.6999999999998</v>
      </c>
      <c r="AF8" s="42">
        <f>ROUND(2.5*'[2]Труд_по старости'!AI9,2)</f>
        <v>4494</v>
      </c>
      <c r="AG8" s="42">
        <f>2.5*'[2]Труд_по старости'!AJ9</f>
        <v>4431</v>
      </c>
      <c r="AH8" s="42">
        <f>ROUND(2.5*'[2]Труд_по старости'!AK9,2)</f>
        <v>5150</v>
      </c>
      <c r="AI8" s="33">
        <f>2.5*'[2]Труд_по старости'!AL9</f>
        <v>5080</v>
      </c>
      <c r="AJ8" s="42">
        <f>2.5*'[2]Труд_по старости'!AQ9</f>
        <v>5359.400000000001</v>
      </c>
      <c r="AK8" s="33">
        <f>2.5*'[2]Труд_по старости'!AR9</f>
        <v>6040</v>
      </c>
      <c r="AL8" s="42">
        <f>2.5*'[2]Труд_по старости'!AS9</f>
        <v>5573.125</v>
      </c>
      <c r="AM8" s="8">
        <f t="shared" si="17"/>
        <v>6945.999999999999</v>
      </c>
      <c r="AN8" s="62">
        <f>1000*1.06*1.085*1.075*1.055*1.055</f>
        <v>1376.0968064374997</v>
      </c>
      <c r="AO8" s="62">
        <f t="shared" si="18"/>
        <v>8322.0968064375</v>
      </c>
      <c r="AP8" s="8">
        <f t="shared" si="19"/>
        <v>7248</v>
      </c>
      <c r="AQ8" s="86">
        <f t="shared" si="20"/>
        <v>8624.0968064375</v>
      </c>
      <c r="AR8" s="8">
        <f t="shared" si="21"/>
        <v>7852</v>
      </c>
      <c r="AS8" s="86">
        <f t="shared" si="22"/>
        <v>9228.0968064375</v>
      </c>
      <c r="AT8" s="8">
        <f t="shared" si="23"/>
        <v>8456</v>
      </c>
      <c r="AU8" s="86">
        <f t="shared" si="24"/>
        <v>9832.0968064375</v>
      </c>
      <c r="AV8" s="8">
        <f t="shared" si="25"/>
        <v>9060</v>
      </c>
      <c r="AW8" s="86">
        <f t="shared" si="26"/>
        <v>10436.0968064375</v>
      </c>
      <c r="AX8" s="8">
        <f t="shared" si="27"/>
        <v>9664</v>
      </c>
      <c r="AY8" s="86">
        <f t="shared" si="28"/>
        <v>11040.0968064375</v>
      </c>
      <c r="AZ8" s="8">
        <f t="shared" si="29"/>
        <v>10268</v>
      </c>
      <c r="BA8" s="86">
        <f t="shared" si="30"/>
        <v>11644.0968064375</v>
      </c>
      <c r="BB8" s="8">
        <f t="shared" si="31"/>
        <v>10872</v>
      </c>
      <c r="BC8" s="86">
        <f t="shared" si="32"/>
        <v>12248.0968064375</v>
      </c>
      <c r="BD8" s="8">
        <f t="shared" si="33"/>
        <v>12080</v>
      </c>
      <c r="BE8" s="86">
        <f t="shared" si="34"/>
        <v>13456.0968064375</v>
      </c>
      <c r="BF8" s="38">
        <f>ROUND(2.5*'[2]Труд_по старости'!DE9,2)</f>
        <v>5500.2</v>
      </c>
      <c r="BG8" s="38">
        <f>ROUND(2.5*'[2]Труд_по старости'!DF9,2)</f>
        <v>6500</v>
      </c>
      <c r="DP8" s="33">
        <f>2.5*'[2]Труд_по старости'!BP9</f>
        <v>5200</v>
      </c>
      <c r="DQ8" s="33">
        <f t="shared" si="35"/>
        <v>1000</v>
      </c>
      <c r="DR8" s="33">
        <f>2.5*'[2]Труд_по старости'!BR9</f>
        <v>4840</v>
      </c>
      <c r="DS8" s="33">
        <f>DR8-AC8</f>
        <v>640</v>
      </c>
      <c r="DT8" s="33">
        <f>2.5*'[2]Труд_по старости'!BT9</f>
        <v>5980</v>
      </c>
      <c r="DU8" s="38">
        <f t="shared" si="36"/>
        <v>780</v>
      </c>
    </row>
    <row r="9" spans="1:125" ht="12.75">
      <c r="A9" s="34" t="s">
        <v>75</v>
      </c>
      <c r="B9" s="34"/>
      <c r="C9" s="44">
        <f>ROUND('[2]Труд_по старости'!B10*2.5,2)</f>
        <v>1875</v>
      </c>
      <c r="D9" s="44">
        <f>ROUND('[2]Труд_по старости'!C10*2.5,2)</f>
        <v>1996.88</v>
      </c>
      <c r="E9" s="44">
        <f>ROUND('[2]Труд_по старости'!D10*2.5,2)</f>
        <v>2176.6</v>
      </c>
      <c r="F9" s="44">
        <f t="shared" si="0"/>
        <v>130.5999999999999</v>
      </c>
      <c r="G9" s="44">
        <f>ROUND('[2]Труд_по старости'!F10*2.5,2)</f>
        <v>2307.2</v>
      </c>
      <c r="H9" s="33">
        <f t="shared" si="1"/>
        <v>2491.78</v>
      </c>
      <c r="I9" s="44">
        <f t="shared" si="2"/>
        <v>315.1800000000003</v>
      </c>
      <c r="J9" s="34">
        <f t="shared" si="3"/>
        <v>2587.53</v>
      </c>
      <c r="K9" s="33">
        <f>'[2]Гос_обесп(участн. ВОВ и социал)'!L10</f>
        <v>2750.03</v>
      </c>
      <c r="L9" s="33">
        <f t="shared" si="37"/>
        <v>95.75</v>
      </c>
      <c r="M9" s="33">
        <f>ROUND('[2]Труд_по старости'!M10*2.5,2)</f>
        <v>3750.03</v>
      </c>
      <c r="N9" s="33">
        <f t="shared" si="4"/>
        <v>1000</v>
      </c>
      <c r="O9" s="72">
        <f>ROUND('[2]Труд_по старости'!O10*2.5,2)</f>
        <v>3750</v>
      </c>
      <c r="P9" s="46">
        <f t="shared" si="5"/>
        <v>999.9699999999998</v>
      </c>
      <c r="Q9" s="46">
        <f t="shared" si="6"/>
        <v>4312.5</v>
      </c>
      <c r="R9" s="46">
        <f t="shared" si="7"/>
        <v>5175</v>
      </c>
      <c r="S9" s="46">
        <f t="shared" si="8"/>
        <v>7500</v>
      </c>
      <c r="T9" s="8">
        <f t="shared" si="9"/>
        <v>1380</v>
      </c>
      <c r="U9" s="33">
        <f t="shared" si="10"/>
        <v>2000</v>
      </c>
      <c r="V9" s="33">
        <f>ROUND('[2]Труд_по старости'!X10*2.5,2)</f>
        <v>3975</v>
      </c>
      <c r="W9" s="33">
        <f t="shared" si="11"/>
        <v>4213.5</v>
      </c>
      <c r="X9" s="33">
        <f>ROUND('[2]Труд_по старости'!AA10*2.5,2)</f>
        <v>4312.88</v>
      </c>
      <c r="Y9" s="33">
        <f t="shared" si="12"/>
        <v>238.5</v>
      </c>
      <c r="Z9" s="33">
        <f t="shared" si="13"/>
        <v>337.8800000000001</v>
      </c>
      <c r="AA9" s="33">
        <f>2.5*'[2]Труд_по старости'!AD10</f>
        <v>4636.35</v>
      </c>
      <c r="AB9" s="42">
        <f t="shared" si="14"/>
        <v>323.47000000000025</v>
      </c>
      <c r="AC9" s="33">
        <f>2.5*'[2]Труд_по старости'!AF10</f>
        <v>5250</v>
      </c>
      <c r="AD9" s="42">
        <f t="shared" si="15"/>
        <v>613.6499999999996</v>
      </c>
      <c r="AE9" s="33">
        <f t="shared" si="16"/>
        <v>937.1199999999999</v>
      </c>
      <c r="AF9" s="42">
        <f>ROUND(2.5*'[2]Труд_по старости'!AI10,2)</f>
        <v>5617.5</v>
      </c>
      <c r="AG9" s="42">
        <f>2.5*'[2]Труд_по старости'!AJ10</f>
        <v>5538.75</v>
      </c>
      <c r="AH9" s="42">
        <f>ROUND(2.5*'[2]Труд_по старости'!AK10,2)</f>
        <v>6437.5</v>
      </c>
      <c r="AI9" s="33">
        <f>2.5*'[2]Труд_по старости'!AL10</f>
        <v>6350</v>
      </c>
      <c r="AJ9" s="33">
        <f>2.5*'[2]Труд_по старости'!AQ10</f>
        <v>6699.25</v>
      </c>
      <c r="AK9" s="33">
        <f>2.5*'[2]Труд_по старости'!AR10</f>
        <v>7550</v>
      </c>
      <c r="AL9" s="42">
        <f>2.5*'[2]Труд_по старости'!AS10</f>
        <v>6966.425</v>
      </c>
      <c r="AM9" s="8">
        <f t="shared" si="17"/>
        <v>8682.5</v>
      </c>
      <c r="AN9" s="62">
        <f>1000*1.06*1.085*1.075*1.055*1.055</f>
        <v>1376.0968064374997</v>
      </c>
      <c r="AO9" s="62">
        <f t="shared" si="18"/>
        <v>10058.5968064375</v>
      </c>
      <c r="AP9" s="8">
        <f t="shared" si="19"/>
        <v>9060</v>
      </c>
      <c r="AQ9" s="86">
        <f t="shared" si="20"/>
        <v>10436.0968064375</v>
      </c>
      <c r="AR9" s="8">
        <f t="shared" si="21"/>
        <v>9815</v>
      </c>
      <c r="AS9" s="86">
        <f t="shared" si="22"/>
        <v>11191.0968064375</v>
      </c>
      <c r="AT9" s="8">
        <f t="shared" si="23"/>
        <v>10570</v>
      </c>
      <c r="AU9" s="86">
        <f t="shared" si="24"/>
        <v>11946.0968064375</v>
      </c>
      <c r="AV9" s="8">
        <f t="shared" si="25"/>
        <v>11325</v>
      </c>
      <c r="AW9" s="86">
        <f t="shared" si="26"/>
        <v>12701.0968064375</v>
      </c>
      <c r="AX9" s="8">
        <f t="shared" si="27"/>
        <v>12080</v>
      </c>
      <c r="AY9" s="86">
        <f t="shared" si="28"/>
        <v>13456.0968064375</v>
      </c>
      <c r="AZ9" s="8">
        <f t="shared" si="29"/>
        <v>12835</v>
      </c>
      <c r="BA9" s="86">
        <f t="shared" si="30"/>
        <v>14211.0968064375</v>
      </c>
      <c r="BB9" s="8">
        <f t="shared" si="31"/>
        <v>13590</v>
      </c>
      <c r="BC9" s="86">
        <f t="shared" si="32"/>
        <v>14966.0968064375</v>
      </c>
      <c r="BD9" s="8">
        <f t="shared" si="33"/>
        <v>15100</v>
      </c>
      <c r="BE9" s="86">
        <f t="shared" si="34"/>
        <v>16476.0968064375</v>
      </c>
      <c r="BF9" s="38">
        <f>ROUND(2.5*'[2]Труд_по старости'!DE10,2)</f>
        <v>6875.25</v>
      </c>
      <c r="BG9" s="38">
        <f>ROUND(2.5*'[2]Труд_по старости'!DF10,2)</f>
        <v>8125</v>
      </c>
      <c r="DP9" s="33">
        <f>2.5*'[2]Труд_по старости'!BP10</f>
        <v>6500</v>
      </c>
      <c r="DQ9" s="33">
        <f t="shared" si="35"/>
        <v>1250</v>
      </c>
      <c r="DR9" s="33">
        <f>2.5*'[2]Труд_по старости'!BR10</f>
        <v>6050</v>
      </c>
      <c r="DS9" s="33">
        <f>DR9-AC9</f>
        <v>800</v>
      </c>
      <c r="DT9" s="33">
        <f>2.5*'[2]Труд_по старости'!BT10</f>
        <v>7475</v>
      </c>
      <c r="DU9" s="38">
        <f t="shared" si="36"/>
        <v>975</v>
      </c>
    </row>
    <row r="10" spans="1:125" ht="12.75">
      <c r="A10" s="34" t="s">
        <v>76</v>
      </c>
      <c r="B10" s="34"/>
      <c r="C10" s="44">
        <f>ROUND('[2]Труд_по старости'!B11*2.5,2)</f>
        <v>2250</v>
      </c>
      <c r="D10" s="44">
        <f>ROUND('[2]Труд_по старости'!C11*2.5,2)</f>
        <v>2396.25</v>
      </c>
      <c r="E10" s="44">
        <f>ROUND('[2]Труд_по старости'!D11*2.5,2)</f>
        <v>2611.93</v>
      </c>
      <c r="F10" s="44">
        <f t="shared" si="0"/>
        <v>156.72000000000025</v>
      </c>
      <c r="G10" s="44">
        <f>ROUND('[2]Труд_по старости'!F11*2.5,2)</f>
        <v>2768.65</v>
      </c>
      <c r="H10" s="33">
        <f t="shared" si="1"/>
        <v>2990.14</v>
      </c>
      <c r="I10" s="44">
        <f t="shared" si="2"/>
        <v>378.21000000000004</v>
      </c>
      <c r="J10" s="34">
        <f t="shared" si="3"/>
        <v>3105.04</v>
      </c>
      <c r="K10" s="33">
        <f>'[2]Гос_обесп(участн. ВОВ и социал)'!L11</f>
        <v>3300.05</v>
      </c>
      <c r="L10" s="33">
        <f t="shared" si="37"/>
        <v>114.90000000000009</v>
      </c>
      <c r="M10" s="33">
        <f>ROUND('[2]Труд_по старости'!M11*2.5,2)</f>
        <v>4500.08</v>
      </c>
      <c r="N10" s="33">
        <f t="shared" si="4"/>
        <v>1200.0299999999997</v>
      </c>
      <c r="O10" s="72">
        <f>ROUND('[2]Труд_по старости'!O11*2.5,2)</f>
        <v>4500</v>
      </c>
      <c r="P10" s="46">
        <f t="shared" si="5"/>
        <v>1199.9499999999998</v>
      </c>
      <c r="Q10" s="46">
        <f t="shared" si="6"/>
        <v>5175</v>
      </c>
      <c r="R10" s="46">
        <f t="shared" si="7"/>
        <v>6210</v>
      </c>
      <c r="S10" s="46">
        <f t="shared" si="8"/>
        <v>9000</v>
      </c>
      <c r="T10" s="8">
        <f t="shared" si="9"/>
        <v>1656</v>
      </c>
      <c r="U10" s="33">
        <f t="shared" si="10"/>
        <v>2400</v>
      </c>
      <c r="V10" s="33">
        <f>ROUND('[2]Труд_по старости'!X11*2.5,2)</f>
        <v>4770</v>
      </c>
      <c r="W10" s="33">
        <f t="shared" si="11"/>
        <v>5056.2</v>
      </c>
      <c r="X10" s="33">
        <f>ROUND('[2]Труд_по старости'!AA11*2.5,2)</f>
        <v>5175.45</v>
      </c>
      <c r="Y10" s="33">
        <f t="shared" si="12"/>
        <v>286.1999999999998</v>
      </c>
      <c r="Z10" s="33">
        <f t="shared" si="13"/>
        <v>405.4499999999998</v>
      </c>
      <c r="AA10" s="42">
        <f>2.5*'[2]Труд_по старости'!AD11</f>
        <v>5563.6</v>
      </c>
      <c r="AB10" s="42">
        <f t="shared" si="14"/>
        <v>388.15000000000055</v>
      </c>
      <c r="AC10" s="33">
        <f>2.5*'[2]Труд_по старости'!AF11</f>
        <v>6300</v>
      </c>
      <c r="AD10" s="42">
        <f t="shared" si="15"/>
        <v>736.3999999999996</v>
      </c>
      <c r="AE10" s="33">
        <f t="shared" si="16"/>
        <v>1124.5500000000002</v>
      </c>
      <c r="AF10" s="42">
        <f>ROUND(2.5*'[2]Труд_по старости'!AI11,2)</f>
        <v>6741</v>
      </c>
      <c r="AG10" s="42">
        <f>2.5*'[2]Труд_по старости'!AJ11</f>
        <v>6646.5</v>
      </c>
      <c r="AH10" s="42">
        <f>ROUND(2.5*'[2]Труд_по старости'!AK11,2)</f>
        <v>7725</v>
      </c>
      <c r="AI10" s="33">
        <f>2.5*'[2]Труд_по старости'!AL11</f>
        <v>7620</v>
      </c>
      <c r="AJ10" s="42">
        <f>2.5*'[2]Труд_по старости'!AQ11</f>
        <v>8039.099999999999</v>
      </c>
      <c r="AK10" s="33">
        <f>2.5*'[2]Труд_по старости'!AR11</f>
        <v>9060</v>
      </c>
      <c r="AL10" s="42">
        <f>2.5*'[2]Труд_по старости'!AS11</f>
        <v>8359.7</v>
      </c>
      <c r="AM10" s="8">
        <f t="shared" si="17"/>
        <v>10419</v>
      </c>
      <c r="AN10" s="62">
        <f>1000*1.06*1.085*1.075*1.055*1.055</f>
        <v>1376.0968064374997</v>
      </c>
      <c r="AO10" s="62">
        <f t="shared" si="18"/>
        <v>11795.0968064375</v>
      </c>
      <c r="AP10" s="8">
        <f t="shared" si="19"/>
        <v>10872</v>
      </c>
      <c r="AQ10" s="86">
        <f t="shared" si="20"/>
        <v>12248.0968064375</v>
      </c>
      <c r="AR10" s="8">
        <f t="shared" si="21"/>
        <v>11778</v>
      </c>
      <c r="AS10" s="86">
        <f t="shared" si="22"/>
        <v>13154.0968064375</v>
      </c>
      <c r="AT10" s="8">
        <f t="shared" si="23"/>
        <v>12684</v>
      </c>
      <c r="AU10" s="86">
        <f t="shared" si="24"/>
        <v>14060.0968064375</v>
      </c>
      <c r="AV10" s="8">
        <f t="shared" si="25"/>
        <v>13590</v>
      </c>
      <c r="AW10" s="86">
        <f t="shared" si="26"/>
        <v>14966.0968064375</v>
      </c>
      <c r="AX10" s="8">
        <f t="shared" si="27"/>
        <v>14496</v>
      </c>
      <c r="AY10" s="86">
        <f t="shared" si="28"/>
        <v>15872.0968064375</v>
      </c>
      <c r="AZ10" s="8">
        <f t="shared" si="29"/>
        <v>15402</v>
      </c>
      <c r="BA10" s="86">
        <f t="shared" si="30"/>
        <v>16778.0968064375</v>
      </c>
      <c r="BB10" s="8">
        <f t="shared" si="31"/>
        <v>16308</v>
      </c>
      <c r="BC10" s="86">
        <f t="shared" si="32"/>
        <v>17684.0968064375</v>
      </c>
      <c r="BD10" s="8">
        <f t="shared" si="33"/>
        <v>18120</v>
      </c>
      <c r="BE10" s="86">
        <f t="shared" si="34"/>
        <v>19496.0968064375</v>
      </c>
      <c r="BF10" s="38">
        <f>ROUND(2.5*'[2]Труд_по старости'!DE11,2)</f>
        <v>8250.3</v>
      </c>
      <c r="BG10" s="38">
        <f>ROUND(2.5*'[2]Труд_по старости'!DF11,2)</f>
        <v>9750</v>
      </c>
      <c r="DP10" s="33">
        <f>2.5*'[2]Труд_по старости'!BP11</f>
        <v>7800</v>
      </c>
      <c r="DQ10" s="33">
        <f t="shared" si="35"/>
        <v>1500</v>
      </c>
      <c r="DR10" s="33">
        <f>2.5*'[2]Труд_по старости'!BR11</f>
        <v>7260</v>
      </c>
      <c r="DS10" s="33">
        <f>DR10-AC10</f>
        <v>960</v>
      </c>
      <c r="DT10" s="33">
        <f>2.5*'[2]Труд_по старости'!BT11</f>
        <v>8970</v>
      </c>
      <c r="DU10" s="38">
        <f t="shared" si="36"/>
        <v>1170</v>
      </c>
    </row>
    <row r="11" spans="1:125" ht="24">
      <c r="A11" s="148" t="s">
        <v>141</v>
      </c>
      <c r="B11" s="32" t="s">
        <v>132</v>
      </c>
      <c r="C11" s="44"/>
      <c r="D11" s="44">
        <f>ROUND(C11*1.065,2)</f>
        <v>0</v>
      </c>
      <c r="E11" s="44">
        <f>ROUND(D11*1.09,2)</f>
        <v>0</v>
      </c>
      <c r="F11" s="44">
        <f t="shared" si="0"/>
        <v>0</v>
      </c>
      <c r="G11" s="44"/>
      <c r="H11" s="33">
        <f t="shared" si="1"/>
        <v>0</v>
      </c>
      <c r="I11" s="44">
        <f t="shared" si="2"/>
        <v>0</v>
      </c>
      <c r="J11" s="34">
        <f t="shared" si="3"/>
        <v>0</v>
      </c>
      <c r="K11" s="34"/>
      <c r="L11" s="34">
        <f t="shared" si="37"/>
        <v>0</v>
      </c>
      <c r="M11" s="33">
        <f>ROUND(K11*M$4,2)</f>
        <v>0</v>
      </c>
      <c r="N11" s="33">
        <f t="shared" si="4"/>
        <v>0</v>
      </c>
      <c r="O11" s="72"/>
      <c r="P11" s="46">
        <f t="shared" si="5"/>
        <v>0</v>
      </c>
      <c r="Q11" s="46">
        <f t="shared" si="6"/>
        <v>0</v>
      </c>
      <c r="R11" s="46">
        <f t="shared" si="7"/>
        <v>0</v>
      </c>
      <c r="S11" s="46">
        <f t="shared" si="8"/>
        <v>0</v>
      </c>
      <c r="T11" s="8">
        <f t="shared" si="9"/>
        <v>0</v>
      </c>
      <c r="U11" s="33">
        <f t="shared" si="10"/>
        <v>0</v>
      </c>
      <c r="V11" s="33"/>
      <c r="W11" s="33">
        <f t="shared" si="11"/>
        <v>0</v>
      </c>
      <c r="X11" s="33">
        <f>ROUND(V11*1.085,2)</f>
        <v>0</v>
      </c>
      <c r="Y11" s="33">
        <f t="shared" si="12"/>
        <v>0</v>
      </c>
      <c r="Z11" s="33">
        <f t="shared" si="13"/>
        <v>0</v>
      </c>
      <c r="AA11" s="33"/>
      <c r="AB11" s="42">
        <f t="shared" si="14"/>
        <v>0</v>
      </c>
      <c r="AC11" s="33"/>
      <c r="AD11" s="42">
        <f t="shared" si="15"/>
        <v>0</v>
      </c>
      <c r="AE11" s="33">
        <f t="shared" si="16"/>
        <v>0</v>
      </c>
      <c r="AF11" s="33"/>
      <c r="AG11" s="34"/>
      <c r="AH11" s="34"/>
      <c r="AI11" s="34"/>
      <c r="AJ11" s="34"/>
      <c r="AK11" s="34"/>
      <c r="AL11" s="34"/>
      <c r="AM11" s="8">
        <f t="shared" si="17"/>
        <v>0</v>
      </c>
      <c r="AO11" s="62">
        <f t="shared" si="18"/>
        <v>0</v>
      </c>
      <c r="AP11" s="8">
        <f t="shared" si="19"/>
        <v>0</v>
      </c>
      <c r="AQ11" s="86">
        <f t="shared" si="20"/>
        <v>0</v>
      </c>
      <c r="AR11" s="8">
        <f t="shared" si="21"/>
        <v>0</v>
      </c>
      <c r="AS11" s="86">
        <f t="shared" si="22"/>
        <v>0</v>
      </c>
      <c r="AT11" s="8">
        <f t="shared" si="23"/>
        <v>0</v>
      </c>
      <c r="AU11" s="86">
        <f t="shared" si="24"/>
        <v>0</v>
      </c>
      <c r="AV11" s="8">
        <f t="shared" si="25"/>
        <v>0</v>
      </c>
      <c r="AW11" s="86">
        <f t="shared" si="26"/>
        <v>0</v>
      </c>
      <c r="AX11" s="8">
        <f t="shared" si="27"/>
        <v>0</v>
      </c>
      <c r="AY11" s="86">
        <f t="shared" si="28"/>
        <v>0</v>
      </c>
      <c r="AZ11" s="8">
        <f t="shared" si="29"/>
        <v>0</v>
      </c>
      <c r="BA11" s="86">
        <f t="shared" si="30"/>
        <v>0</v>
      </c>
      <c r="BB11" s="8">
        <f t="shared" si="31"/>
        <v>0</v>
      </c>
      <c r="BC11" s="86">
        <f t="shared" si="32"/>
        <v>0</v>
      </c>
      <c r="BD11" s="8">
        <f t="shared" si="33"/>
        <v>0</v>
      </c>
      <c r="BE11" s="86">
        <f t="shared" si="34"/>
        <v>0</v>
      </c>
      <c r="BF11" s="35"/>
      <c r="BG11" s="35"/>
      <c r="DP11" s="33"/>
      <c r="DQ11" s="33">
        <f t="shared" si="35"/>
        <v>0</v>
      </c>
      <c r="DR11" s="33"/>
      <c r="DS11" s="33"/>
      <c r="DT11" s="34"/>
      <c r="DU11" s="38">
        <f t="shared" si="36"/>
        <v>0</v>
      </c>
    </row>
    <row r="12" spans="1:125" ht="12.75">
      <c r="A12" s="34" t="s">
        <v>73</v>
      </c>
      <c r="B12" s="34"/>
      <c r="C12" s="44">
        <f>ROUND('[2]Труд_по старости'!B8*2,2)</f>
        <v>900</v>
      </c>
      <c r="D12" s="44">
        <f>ROUND('[2]Труд_по старости'!C8*2,2)</f>
        <v>958.5</v>
      </c>
      <c r="E12" s="44">
        <f>ROUND('[2]Труд_по старости'!D8*2,2)</f>
        <v>1044.76</v>
      </c>
      <c r="F12" s="44">
        <f t="shared" si="0"/>
        <v>62.680000000000064</v>
      </c>
      <c r="G12" s="44">
        <f>ROUND('[2]Труд_по старости'!F8*2,2)</f>
        <v>1107.44</v>
      </c>
      <c r="H12" s="33">
        <f t="shared" si="1"/>
        <v>1196.04</v>
      </c>
      <c r="I12" s="44">
        <f t="shared" si="2"/>
        <v>151.27999999999997</v>
      </c>
      <c r="J12" s="44">
        <f t="shared" si="3"/>
        <v>1242</v>
      </c>
      <c r="K12" s="75">
        <f>'[2]Гос_обесп(участн. ВОВ и социал)'!L13</f>
        <v>1320</v>
      </c>
      <c r="L12" s="45">
        <f t="shared" si="37"/>
        <v>45.960000000000036</v>
      </c>
      <c r="M12" s="45">
        <f>ROUND('[2]Труд_по старости'!M8*2,2)</f>
        <v>1800</v>
      </c>
      <c r="N12" s="45">
        <f t="shared" si="4"/>
        <v>480</v>
      </c>
      <c r="O12" s="115">
        <f>ROUND('[2]Труд_по старости'!O8*2,2)</f>
        <v>1800</v>
      </c>
      <c r="P12" s="48">
        <f t="shared" si="5"/>
        <v>480</v>
      </c>
      <c r="Q12" s="48">
        <f t="shared" si="6"/>
        <v>2070</v>
      </c>
      <c r="R12" s="48">
        <f t="shared" si="7"/>
        <v>2484</v>
      </c>
      <c r="S12" s="48">
        <f t="shared" si="8"/>
        <v>3600</v>
      </c>
      <c r="T12" s="8">
        <f t="shared" si="9"/>
        <v>662</v>
      </c>
      <c r="U12" s="33">
        <f t="shared" si="10"/>
        <v>960</v>
      </c>
      <c r="V12" s="33">
        <f>ROUND('[2]Труд_по старости'!X8*2,2)</f>
        <v>1908</v>
      </c>
      <c r="W12" s="33">
        <f t="shared" si="11"/>
        <v>2022.48</v>
      </c>
      <c r="X12" s="33">
        <f>ROUND('[2]Труд_по старости'!AA8*2,2)</f>
        <v>2070.18</v>
      </c>
      <c r="Y12" s="33">
        <f t="shared" si="12"/>
        <v>114.48000000000002</v>
      </c>
      <c r="Z12" s="33">
        <f t="shared" si="13"/>
        <v>162.17999999999984</v>
      </c>
      <c r="AA12" s="33">
        <f>'[2]Труд_по старости'!AD8*2</f>
        <v>2225.44</v>
      </c>
      <c r="AB12" s="42">
        <f t="shared" si="14"/>
        <v>155.26000000000022</v>
      </c>
      <c r="AC12" s="33">
        <f>2*'[2]Труд_по старости'!AF8</f>
        <v>2520</v>
      </c>
      <c r="AD12" s="42">
        <f t="shared" si="15"/>
        <v>294.55999999999995</v>
      </c>
      <c r="AE12" s="33">
        <f t="shared" si="16"/>
        <v>449.82000000000016</v>
      </c>
      <c r="AF12" s="42">
        <f>ROUND(2*'[2]Труд_по старости'!AI8,2)</f>
        <v>2696.4</v>
      </c>
      <c r="AG12" s="42">
        <f>'[2]Труд_по старости'!AJ8*2</f>
        <v>2658.6</v>
      </c>
      <c r="AH12" s="42">
        <f>ROUND(2*'[2]Труд_по старости'!AK8,2)</f>
        <v>3090</v>
      </c>
      <c r="AI12" s="33">
        <f>'[2]Труд_по старости'!AL8*2</f>
        <v>3048</v>
      </c>
      <c r="AJ12" s="149">
        <f>'[2]Труд_по старости'!AQ8*2</f>
        <v>3215.64</v>
      </c>
      <c r="AK12" s="33">
        <f>'[2]Труд_по старости'!AR8*2</f>
        <v>3624</v>
      </c>
      <c r="AL12" s="42">
        <f>'[2]Труд_по старости'!AS8*2</f>
        <v>3343.88</v>
      </c>
      <c r="AM12" s="8">
        <f t="shared" si="17"/>
        <v>4167.599999999999</v>
      </c>
      <c r="AN12" s="62">
        <f>200*1.06*1.085*1.075*1.055*1.055</f>
        <v>275.21936128749996</v>
      </c>
      <c r="AO12" s="62">
        <f t="shared" si="18"/>
        <v>4442.819361287499</v>
      </c>
      <c r="AP12" s="8">
        <f t="shared" si="19"/>
        <v>4348.8</v>
      </c>
      <c r="AQ12" s="86">
        <f t="shared" si="20"/>
        <v>4624.0193612875</v>
      </c>
      <c r="AR12" s="8">
        <f t="shared" si="21"/>
        <v>4711.2</v>
      </c>
      <c r="AS12" s="86">
        <f t="shared" si="22"/>
        <v>4986.4193612875</v>
      </c>
      <c r="AT12" s="8">
        <f t="shared" si="23"/>
        <v>5073.599999999999</v>
      </c>
      <c r="AU12" s="86">
        <f t="shared" si="24"/>
        <v>5348.819361287499</v>
      </c>
      <c r="AV12" s="8">
        <f t="shared" si="25"/>
        <v>5436</v>
      </c>
      <c r="AW12" s="86">
        <f t="shared" si="26"/>
        <v>5711.2193612875</v>
      </c>
      <c r="AX12" s="8">
        <f t="shared" si="27"/>
        <v>5798.400000000001</v>
      </c>
      <c r="AY12" s="86">
        <f t="shared" si="28"/>
        <v>6073.6193612875</v>
      </c>
      <c r="AZ12" s="8">
        <f t="shared" si="29"/>
        <v>6160.8</v>
      </c>
      <c r="BA12" s="86">
        <f t="shared" si="30"/>
        <v>6436.0193612875</v>
      </c>
      <c r="BB12" s="8">
        <f t="shared" si="31"/>
        <v>6523.2</v>
      </c>
      <c r="BC12" s="86">
        <f t="shared" si="32"/>
        <v>6798.4193612875</v>
      </c>
      <c r="BD12" s="8">
        <f t="shared" si="33"/>
        <v>7248</v>
      </c>
      <c r="BE12" s="86">
        <f t="shared" si="34"/>
        <v>7523.2193612875</v>
      </c>
      <c r="BF12" s="38">
        <f>ROUND(2*'[2]Труд_по старости'!DE8,2)</f>
        <v>3300.12</v>
      </c>
      <c r="BG12" s="38">
        <f>ROUND(2*'[2]Труд_по старости'!DF8,2)</f>
        <v>3900</v>
      </c>
      <c r="DP12" s="33">
        <f>2*'[2]Труд_по старости'!BP8</f>
        <v>3120</v>
      </c>
      <c r="DQ12" s="33">
        <f t="shared" si="35"/>
        <v>600</v>
      </c>
      <c r="DR12" s="33">
        <f>2*'[2]Труд_по старости'!BR8</f>
        <v>2904</v>
      </c>
      <c r="DS12" s="33">
        <f aca="true" t="shared" si="38" ref="DS12:DS34">DR12-AC12</f>
        <v>384</v>
      </c>
      <c r="DT12" s="33">
        <f>2*'[2]Труд_по старости'!BT8</f>
        <v>3588</v>
      </c>
      <c r="DU12" s="38">
        <f t="shared" si="36"/>
        <v>468</v>
      </c>
    </row>
    <row r="13" spans="1:125" ht="12.75">
      <c r="A13" s="34" t="s">
        <v>74</v>
      </c>
      <c r="B13" s="34"/>
      <c r="C13" s="44">
        <f>ROUND('[2]Труд_по старости'!B9*2,2)</f>
        <v>1200</v>
      </c>
      <c r="D13" s="44">
        <f>ROUND('[2]Труд_по старости'!C9*2,2)</f>
        <v>1278</v>
      </c>
      <c r="E13" s="44">
        <f>ROUND('[2]Труд_по старости'!D9*2,2)</f>
        <v>1393.02</v>
      </c>
      <c r="F13" s="44">
        <f t="shared" si="0"/>
        <v>83.57999999999993</v>
      </c>
      <c r="G13" s="44">
        <f>ROUND('[2]Труд_по старости'!F9*2,2)</f>
        <v>1476.6</v>
      </c>
      <c r="H13" s="33">
        <f t="shared" si="1"/>
        <v>1594.73</v>
      </c>
      <c r="I13" s="44">
        <f t="shared" si="2"/>
        <v>201.71000000000004</v>
      </c>
      <c r="J13" s="34">
        <f t="shared" si="3"/>
        <v>1656.01</v>
      </c>
      <c r="K13" s="42">
        <f>'[2]Гос_обесп(участн. ВОВ и социал)'!L14</f>
        <v>1760</v>
      </c>
      <c r="L13" s="33">
        <f t="shared" si="37"/>
        <v>61.27999999999997</v>
      </c>
      <c r="M13" s="33">
        <f>ROUND('[2]Труд_по старости'!M9*2,2)</f>
        <v>2400</v>
      </c>
      <c r="N13" s="33">
        <f t="shared" si="4"/>
        <v>640</v>
      </c>
      <c r="O13" s="72">
        <f>ROUND('[2]Труд_по старости'!O9*2,2)</f>
        <v>2400</v>
      </c>
      <c r="P13" s="46">
        <f t="shared" si="5"/>
        <v>640</v>
      </c>
      <c r="Q13" s="46">
        <f t="shared" si="6"/>
        <v>2760</v>
      </c>
      <c r="R13" s="46">
        <f t="shared" si="7"/>
        <v>3312</v>
      </c>
      <c r="S13" s="46">
        <f t="shared" si="8"/>
        <v>4800</v>
      </c>
      <c r="T13" s="8">
        <f t="shared" si="9"/>
        <v>883</v>
      </c>
      <c r="U13" s="33">
        <f t="shared" si="10"/>
        <v>1280</v>
      </c>
      <c r="V13" s="33">
        <f>ROUND('[2]Труд_по старости'!X9*2,2)</f>
        <v>2544</v>
      </c>
      <c r="W13" s="33">
        <f t="shared" si="11"/>
        <v>2696.6400000000003</v>
      </c>
      <c r="X13" s="33">
        <f>ROUND('[2]Труд_по старости'!AA9*2,2)</f>
        <v>2760.24</v>
      </c>
      <c r="Y13" s="33">
        <f t="shared" si="12"/>
        <v>152.64000000000033</v>
      </c>
      <c r="Z13" s="33">
        <f t="shared" si="13"/>
        <v>216.23999999999978</v>
      </c>
      <c r="AA13" s="33">
        <f>'[2]Труд_по старости'!AD9*2</f>
        <v>2967.26</v>
      </c>
      <c r="AB13" s="42">
        <f t="shared" si="14"/>
        <v>207.02000000000044</v>
      </c>
      <c r="AC13" s="33">
        <f>2*'[2]Труд_по старости'!AF9</f>
        <v>3360</v>
      </c>
      <c r="AD13" s="42">
        <f t="shared" si="15"/>
        <v>392.7399999999998</v>
      </c>
      <c r="AE13" s="33">
        <f t="shared" si="16"/>
        <v>599.7600000000002</v>
      </c>
      <c r="AF13" s="42">
        <f>ROUND(2*'[2]Труд_по старости'!AI9,2)</f>
        <v>3595.2</v>
      </c>
      <c r="AG13" s="42">
        <f>'[2]Труд_по старости'!AJ9*2</f>
        <v>3544.8</v>
      </c>
      <c r="AH13" s="42">
        <f>ROUND(2*'[2]Труд_по старости'!AK9,2)</f>
        <v>4120</v>
      </c>
      <c r="AI13" s="33">
        <f>'[2]Труд_по старости'!AL9*2</f>
        <v>4064</v>
      </c>
      <c r="AJ13" s="149">
        <f>'[2]Труд_по старости'!AQ9*2</f>
        <v>4287.52</v>
      </c>
      <c r="AK13" s="33">
        <f>'[2]Труд_по старости'!AR9*2</f>
        <v>4832</v>
      </c>
      <c r="AL13" s="42">
        <f>'[2]Труд_по старости'!AS9*2</f>
        <v>4458.5</v>
      </c>
      <c r="AM13" s="8">
        <f t="shared" si="17"/>
        <v>5556.799999999999</v>
      </c>
      <c r="AN13" s="62">
        <f>200*1.06*1.085*1.075*1.055*1.055</f>
        <v>275.21936128749996</v>
      </c>
      <c r="AO13" s="62">
        <f t="shared" si="18"/>
        <v>5832.019361287499</v>
      </c>
      <c r="AP13" s="8">
        <f t="shared" si="19"/>
        <v>5798.4</v>
      </c>
      <c r="AQ13" s="86">
        <f t="shared" si="20"/>
        <v>6073.6193612874995</v>
      </c>
      <c r="AR13" s="8">
        <f t="shared" si="21"/>
        <v>6281.6</v>
      </c>
      <c r="AS13" s="86">
        <f t="shared" si="22"/>
        <v>6556.8193612875</v>
      </c>
      <c r="AT13" s="8">
        <f t="shared" si="23"/>
        <v>6764.799999999999</v>
      </c>
      <c r="AU13" s="86">
        <f t="shared" si="24"/>
        <v>7040.019361287499</v>
      </c>
      <c r="AV13" s="8">
        <f t="shared" si="25"/>
        <v>7248</v>
      </c>
      <c r="AW13" s="86">
        <f t="shared" si="26"/>
        <v>7523.2193612875</v>
      </c>
      <c r="AX13" s="8">
        <f t="shared" si="27"/>
        <v>7731.200000000001</v>
      </c>
      <c r="AY13" s="86">
        <f t="shared" si="28"/>
        <v>8006.419361287501</v>
      </c>
      <c r="AZ13" s="8">
        <f t="shared" si="29"/>
        <v>8214.4</v>
      </c>
      <c r="BA13" s="86">
        <f t="shared" si="30"/>
        <v>8489.6193612875</v>
      </c>
      <c r="BB13" s="8">
        <f t="shared" si="31"/>
        <v>8697.6</v>
      </c>
      <c r="BC13" s="86">
        <f t="shared" si="32"/>
        <v>8972.8193612875</v>
      </c>
      <c r="BD13" s="8">
        <f t="shared" si="33"/>
        <v>9664</v>
      </c>
      <c r="BE13" s="86">
        <f t="shared" si="34"/>
        <v>9939.2193612875</v>
      </c>
      <c r="BF13" s="38">
        <f>ROUND(2*'[2]Труд_по старости'!DE9,2)</f>
        <v>4400.16</v>
      </c>
      <c r="BG13" s="38">
        <f>ROUND(2*'[2]Труд_по старости'!DF9,2)</f>
        <v>5200</v>
      </c>
      <c r="DP13" s="33">
        <f>2*'[2]Труд_по старости'!BP9</f>
        <v>4160</v>
      </c>
      <c r="DQ13" s="33">
        <f t="shared" si="35"/>
        <v>800</v>
      </c>
      <c r="DR13" s="33">
        <f>2*'[2]Труд_по старости'!BR9</f>
        <v>3872</v>
      </c>
      <c r="DS13" s="33">
        <f t="shared" si="38"/>
        <v>512</v>
      </c>
      <c r="DT13" s="33">
        <f>2*'[2]Труд_по старости'!BT9</f>
        <v>4784</v>
      </c>
      <c r="DU13" s="38">
        <f t="shared" si="36"/>
        <v>624</v>
      </c>
    </row>
    <row r="14" spans="1:125" ht="12.75">
      <c r="A14" s="34" t="s">
        <v>75</v>
      </c>
      <c r="B14" s="34"/>
      <c r="C14" s="44">
        <f>ROUND('[2]Труд_по старости'!B10*2,2)</f>
        <v>1500</v>
      </c>
      <c r="D14" s="44">
        <f>ROUND('[2]Труд_по старости'!C10*2,2)</f>
        <v>1597.5</v>
      </c>
      <c r="E14" s="44">
        <f>ROUND('[2]Труд_по старости'!D10*2,2)</f>
        <v>1741.28</v>
      </c>
      <c r="F14" s="44">
        <f t="shared" si="0"/>
        <v>104.48000000000002</v>
      </c>
      <c r="G14" s="44">
        <f>ROUND('[2]Труд_по старости'!F10*2,2)</f>
        <v>1845.76</v>
      </c>
      <c r="H14" s="33">
        <f t="shared" si="1"/>
        <v>1993.42</v>
      </c>
      <c r="I14" s="44">
        <f t="shared" si="2"/>
        <v>252.1400000000001</v>
      </c>
      <c r="J14" s="34">
        <f t="shared" si="3"/>
        <v>2070.02</v>
      </c>
      <c r="K14" s="42">
        <f>'[2]Гос_обесп(участн. ВОВ и социал)'!L15</f>
        <v>2200.02</v>
      </c>
      <c r="L14" s="33">
        <f t="shared" si="37"/>
        <v>76.59999999999991</v>
      </c>
      <c r="M14" s="33">
        <f>ROUND('[2]Труд_по старости'!M10*2,2)</f>
        <v>3000.02</v>
      </c>
      <c r="N14" s="33">
        <f t="shared" si="4"/>
        <v>800</v>
      </c>
      <c r="O14" s="72">
        <f>ROUND('[2]Труд_по старости'!O10*2,2)</f>
        <v>3000</v>
      </c>
      <c r="P14" s="46">
        <f t="shared" si="5"/>
        <v>799.98</v>
      </c>
      <c r="Q14" s="46">
        <f t="shared" si="6"/>
        <v>3450</v>
      </c>
      <c r="R14" s="46">
        <f t="shared" si="7"/>
        <v>4140</v>
      </c>
      <c r="S14" s="46">
        <f t="shared" si="8"/>
        <v>6000</v>
      </c>
      <c r="T14" s="8">
        <f t="shared" si="9"/>
        <v>1104</v>
      </c>
      <c r="U14" s="33">
        <f t="shared" si="10"/>
        <v>1600</v>
      </c>
      <c r="V14" s="33">
        <f>ROUND('[2]Труд_по старости'!X10*2,2)</f>
        <v>3180</v>
      </c>
      <c r="W14" s="33">
        <f t="shared" si="11"/>
        <v>3370.8</v>
      </c>
      <c r="X14" s="33">
        <f>ROUND('[2]Труд_по старости'!AA10*2,2)</f>
        <v>3450.3</v>
      </c>
      <c r="Y14" s="33">
        <f t="shared" si="12"/>
        <v>190.80000000000018</v>
      </c>
      <c r="Z14" s="33">
        <f t="shared" si="13"/>
        <v>270.3000000000002</v>
      </c>
      <c r="AA14" s="33">
        <f>'[2]Труд_по старости'!AD10*2</f>
        <v>3709.08</v>
      </c>
      <c r="AB14" s="42">
        <f t="shared" si="14"/>
        <v>258.77999999999975</v>
      </c>
      <c r="AC14" s="33">
        <f>2*'[2]Труд_по старости'!AF10</f>
        <v>4200</v>
      </c>
      <c r="AD14" s="42">
        <f t="shared" si="15"/>
        <v>490.9200000000001</v>
      </c>
      <c r="AE14" s="42">
        <f t="shared" si="16"/>
        <v>749.6999999999998</v>
      </c>
      <c r="AF14" s="42">
        <f>ROUND(2*'[2]Труд_по старости'!AI10,2)</f>
        <v>4494</v>
      </c>
      <c r="AG14" s="42">
        <f>'[2]Труд_по старости'!AJ10*2</f>
        <v>4431</v>
      </c>
      <c r="AH14" s="42">
        <f>ROUND(2*'[2]Труд_по старости'!AK10,2)</f>
        <v>5150</v>
      </c>
      <c r="AI14" s="33">
        <f>'[2]Труд_по старости'!AL10*2</f>
        <v>5080</v>
      </c>
      <c r="AJ14" s="149">
        <f>'[2]Труд_по старости'!AQ10*2</f>
        <v>5359.4</v>
      </c>
      <c r="AK14" s="33">
        <f>'[2]Труд_по старости'!AR10*2</f>
        <v>6040</v>
      </c>
      <c r="AL14" s="42">
        <f>'[2]Труд_по старости'!AS10*2</f>
        <v>5573.14</v>
      </c>
      <c r="AM14" s="8">
        <f t="shared" si="17"/>
        <v>6945.999999999999</v>
      </c>
      <c r="AN14" s="62">
        <f>200*1.06*1.085*1.075*1.055*1.055</f>
        <v>275.21936128749996</v>
      </c>
      <c r="AO14" s="62">
        <f t="shared" si="18"/>
        <v>7221.219361287499</v>
      </c>
      <c r="AP14" s="8">
        <f t="shared" si="19"/>
        <v>7248</v>
      </c>
      <c r="AQ14" s="86">
        <f t="shared" si="20"/>
        <v>7523.2193612875</v>
      </c>
      <c r="AR14" s="8">
        <f t="shared" si="21"/>
        <v>7852</v>
      </c>
      <c r="AS14" s="86">
        <f t="shared" si="22"/>
        <v>8127.2193612875</v>
      </c>
      <c r="AT14" s="8">
        <f t="shared" si="23"/>
        <v>8456</v>
      </c>
      <c r="AU14" s="86">
        <f t="shared" si="24"/>
        <v>8731.2193612875</v>
      </c>
      <c r="AV14" s="8">
        <f t="shared" si="25"/>
        <v>9060</v>
      </c>
      <c r="AW14" s="86">
        <f t="shared" si="26"/>
        <v>9335.2193612875</v>
      </c>
      <c r="AX14" s="8">
        <f t="shared" si="27"/>
        <v>9664</v>
      </c>
      <c r="AY14" s="86">
        <f t="shared" si="28"/>
        <v>9939.2193612875</v>
      </c>
      <c r="AZ14" s="8">
        <f t="shared" si="29"/>
        <v>10268</v>
      </c>
      <c r="BA14" s="86">
        <f t="shared" si="30"/>
        <v>10543.2193612875</v>
      </c>
      <c r="BB14" s="8">
        <f t="shared" si="31"/>
        <v>10872</v>
      </c>
      <c r="BC14" s="86">
        <f t="shared" si="32"/>
        <v>11147.2193612875</v>
      </c>
      <c r="BD14" s="8">
        <f t="shared" si="33"/>
        <v>12080</v>
      </c>
      <c r="BE14" s="86">
        <f t="shared" si="34"/>
        <v>12355.2193612875</v>
      </c>
      <c r="BF14" s="38">
        <f>ROUND(2*'[2]Труд_по старости'!DE10,2)</f>
        <v>5500.2</v>
      </c>
      <c r="BG14" s="38">
        <f>ROUND(2*'[2]Труд_по старости'!DF10,2)</f>
        <v>6500</v>
      </c>
      <c r="DP14" s="33">
        <f>2*'[2]Труд_по старости'!BP10</f>
        <v>5200</v>
      </c>
      <c r="DQ14" s="33">
        <f t="shared" si="35"/>
        <v>1000</v>
      </c>
      <c r="DR14" s="33">
        <f>2*'[2]Труд_по старости'!BR10</f>
        <v>4840</v>
      </c>
      <c r="DS14" s="33">
        <f t="shared" si="38"/>
        <v>640</v>
      </c>
      <c r="DT14" s="33">
        <f>2*'[2]Труд_по старости'!BT10</f>
        <v>5980</v>
      </c>
      <c r="DU14" s="38">
        <f t="shared" si="36"/>
        <v>780</v>
      </c>
    </row>
    <row r="15" spans="1:125" ht="12.75">
      <c r="A15" s="34" t="s">
        <v>76</v>
      </c>
      <c r="B15" s="34"/>
      <c r="C15" s="44">
        <f>ROUND('[2]Труд_по старости'!B11*2,2)</f>
        <v>1800</v>
      </c>
      <c r="D15" s="44">
        <f>ROUND('[2]Труд_по старости'!C11*2,2)</f>
        <v>1917</v>
      </c>
      <c r="E15" s="44">
        <f>ROUND('[2]Труд_по старости'!D11*2,2)</f>
        <v>2089.54</v>
      </c>
      <c r="F15" s="44">
        <f t="shared" si="0"/>
        <v>125.38000000000011</v>
      </c>
      <c r="G15" s="44">
        <f>ROUND('[2]Труд_по старости'!F11*2,2)</f>
        <v>2214.92</v>
      </c>
      <c r="H15" s="33">
        <f t="shared" si="1"/>
        <v>2392.11</v>
      </c>
      <c r="I15" s="44">
        <f t="shared" si="2"/>
        <v>302.57000000000016</v>
      </c>
      <c r="J15" s="34">
        <f t="shared" si="3"/>
        <v>2484.03</v>
      </c>
      <c r="K15" s="42">
        <f>'[2]Гос_обесп(участн. ВОВ и социал)'!L16</f>
        <v>2640.04</v>
      </c>
      <c r="L15" s="33">
        <f t="shared" si="37"/>
        <v>91.92000000000007</v>
      </c>
      <c r="M15" s="33">
        <f>ROUND('[2]Труд_по старости'!M11*2,2)</f>
        <v>3600.06</v>
      </c>
      <c r="N15" s="33">
        <f t="shared" si="4"/>
        <v>960.02</v>
      </c>
      <c r="O15" s="72">
        <f>ROUND('[2]Труд_по старости'!O11*2,2)</f>
        <v>3600</v>
      </c>
      <c r="P15" s="46">
        <f t="shared" si="5"/>
        <v>959.96</v>
      </c>
      <c r="Q15" s="46">
        <f t="shared" si="6"/>
        <v>4140</v>
      </c>
      <c r="R15" s="46">
        <f t="shared" si="7"/>
        <v>4968</v>
      </c>
      <c r="S15" s="46">
        <f t="shared" si="8"/>
        <v>7200</v>
      </c>
      <c r="T15" s="8">
        <f t="shared" si="9"/>
        <v>1325</v>
      </c>
      <c r="U15" s="33">
        <f t="shared" si="10"/>
        <v>1920</v>
      </c>
      <c r="V15" s="33">
        <f>ROUND('[2]Труд_по старости'!X11*2,2)</f>
        <v>3816</v>
      </c>
      <c r="W15" s="33">
        <f t="shared" si="11"/>
        <v>4044.96</v>
      </c>
      <c r="X15" s="33">
        <f>ROUND('[2]Труд_по старости'!AA11*2,2)</f>
        <v>4140.36</v>
      </c>
      <c r="Y15" s="33">
        <f t="shared" si="12"/>
        <v>228.96000000000004</v>
      </c>
      <c r="Z15" s="33">
        <f t="shared" si="13"/>
        <v>324.3599999999997</v>
      </c>
      <c r="AA15" s="33">
        <f>'[2]Труд_по старости'!AD11*2</f>
        <v>4450.88</v>
      </c>
      <c r="AB15" s="42">
        <f t="shared" si="14"/>
        <v>310.52000000000044</v>
      </c>
      <c r="AC15" s="33">
        <f>2*'[2]Труд_по старости'!AF11</f>
        <v>5040</v>
      </c>
      <c r="AD15" s="42">
        <f t="shared" si="15"/>
        <v>589.1199999999999</v>
      </c>
      <c r="AE15" s="33">
        <f t="shared" si="16"/>
        <v>899.6400000000003</v>
      </c>
      <c r="AF15" s="42">
        <f>ROUND(2*'[2]Труд_по старости'!AI11,2)</f>
        <v>5392.8</v>
      </c>
      <c r="AG15" s="42">
        <f>'[2]Труд_по старости'!AJ11*2</f>
        <v>5317.2</v>
      </c>
      <c r="AH15" s="42">
        <f>ROUND(2*'[2]Труд_по старости'!AK11,2)</f>
        <v>6180</v>
      </c>
      <c r="AI15" s="33">
        <f>'[2]Труд_по старости'!AL11*2</f>
        <v>6096</v>
      </c>
      <c r="AJ15" s="149">
        <f>'[2]Труд_по старости'!AQ11*2</f>
        <v>6431.28</v>
      </c>
      <c r="AK15" s="33">
        <f>'[2]Труд_по старости'!AR11*2</f>
        <v>7248</v>
      </c>
      <c r="AL15" s="42">
        <f>'[2]Труд_по старости'!AS11*2</f>
        <v>6687.76</v>
      </c>
      <c r="AM15" s="8">
        <f t="shared" si="17"/>
        <v>8335.199999999999</v>
      </c>
      <c r="AN15" s="62">
        <f>200*1.06*1.085*1.075*1.055*1.055</f>
        <v>275.21936128749996</v>
      </c>
      <c r="AO15" s="62">
        <f t="shared" si="18"/>
        <v>8610.419361287499</v>
      </c>
      <c r="AP15" s="8">
        <f t="shared" si="19"/>
        <v>8697.6</v>
      </c>
      <c r="AQ15" s="86">
        <f t="shared" si="20"/>
        <v>8972.8193612875</v>
      </c>
      <c r="AR15" s="8">
        <f t="shared" si="21"/>
        <v>9422.4</v>
      </c>
      <c r="AS15" s="86">
        <f t="shared" si="22"/>
        <v>9697.6193612875</v>
      </c>
      <c r="AT15" s="8">
        <f t="shared" si="23"/>
        <v>10147.199999999999</v>
      </c>
      <c r="AU15" s="86">
        <f t="shared" si="24"/>
        <v>10422.419361287499</v>
      </c>
      <c r="AV15" s="8">
        <f t="shared" si="25"/>
        <v>10872</v>
      </c>
      <c r="AW15" s="86">
        <f t="shared" si="26"/>
        <v>11147.2193612875</v>
      </c>
      <c r="AX15" s="8">
        <f t="shared" si="27"/>
        <v>11596.800000000001</v>
      </c>
      <c r="AY15" s="86">
        <f t="shared" si="28"/>
        <v>11872.019361287501</v>
      </c>
      <c r="AZ15" s="8">
        <f t="shared" si="29"/>
        <v>12321.6</v>
      </c>
      <c r="BA15" s="86">
        <f t="shared" si="30"/>
        <v>12596.8193612875</v>
      </c>
      <c r="BB15" s="8">
        <f t="shared" si="31"/>
        <v>13046.4</v>
      </c>
      <c r="BC15" s="86">
        <f t="shared" si="32"/>
        <v>13321.6193612875</v>
      </c>
      <c r="BD15" s="8">
        <f t="shared" si="33"/>
        <v>14496</v>
      </c>
      <c r="BE15" s="86">
        <f t="shared" si="34"/>
        <v>14771.2193612875</v>
      </c>
      <c r="BF15" s="38">
        <f>ROUND(2*'[2]Труд_по старости'!DE11,2)</f>
        <v>6600.24</v>
      </c>
      <c r="BG15" s="38">
        <f>ROUND(2*'[2]Труд_по старости'!DF11,2)</f>
        <v>7800</v>
      </c>
      <c r="DP15" s="33">
        <f>2*'[2]Труд_по старости'!BP11</f>
        <v>6240</v>
      </c>
      <c r="DQ15" s="33">
        <f t="shared" si="35"/>
        <v>1200</v>
      </c>
      <c r="DR15" s="33">
        <f>2*'[2]Труд_по старости'!BR11</f>
        <v>5808</v>
      </c>
      <c r="DS15" s="33">
        <f t="shared" si="38"/>
        <v>768</v>
      </c>
      <c r="DT15" s="33">
        <f>2*'[2]Труд_по старости'!BT11</f>
        <v>7176</v>
      </c>
      <c r="DU15" s="38">
        <f t="shared" si="36"/>
        <v>936</v>
      </c>
    </row>
    <row r="16" spans="1:125" ht="12.75">
      <c r="A16" s="171" t="s">
        <v>133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33">
        <f>ROUND(K16*M$4,2)</f>
        <v>0</v>
      </c>
      <c r="N16" s="33">
        <f t="shared" si="4"/>
        <v>0</v>
      </c>
      <c r="O16" s="72"/>
      <c r="P16" s="46">
        <f t="shared" si="5"/>
        <v>0</v>
      </c>
      <c r="Q16" s="46">
        <f t="shared" si="6"/>
        <v>0</v>
      </c>
      <c r="R16" s="46">
        <f t="shared" si="7"/>
        <v>0</v>
      </c>
      <c r="S16" s="46">
        <f t="shared" si="8"/>
        <v>0</v>
      </c>
      <c r="T16" s="8">
        <f t="shared" si="9"/>
        <v>0</v>
      </c>
      <c r="U16" s="33">
        <f t="shared" si="10"/>
        <v>0</v>
      </c>
      <c r="V16" s="33"/>
      <c r="W16" s="33">
        <f t="shared" si="11"/>
        <v>0</v>
      </c>
      <c r="X16" s="33">
        <f>ROUND(V16*1.085,2)</f>
        <v>0</v>
      </c>
      <c r="Y16" s="33">
        <f t="shared" si="12"/>
        <v>0</v>
      </c>
      <c r="Z16" s="33">
        <f t="shared" si="13"/>
        <v>0</v>
      </c>
      <c r="AA16" s="33"/>
      <c r="AB16" s="42">
        <f t="shared" si="14"/>
        <v>0</v>
      </c>
      <c r="AC16" s="33"/>
      <c r="AD16" s="42">
        <f t="shared" si="15"/>
        <v>0</v>
      </c>
      <c r="AE16" s="33">
        <f t="shared" si="16"/>
        <v>0</v>
      </c>
      <c r="AF16" s="33"/>
      <c r="AG16" s="34"/>
      <c r="AH16" s="34"/>
      <c r="AI16" s="34"/>
      <c r="AJ16" s="34"/>
      <c r="AK16" s="34"/>
      <c r="AL16" s="34"/>
      <c r="AM16" s="8">
        <f t="shared" si="17"/>
        <v>0</v>
      </c>
      <c r="AO16" s="62">
        <f t="shared" si="18"/>
        <v>0</v>
      </c>
      <c r="AP16" s="8">
        <f t="shared" si="19"/>
        <v>0</v>
      </c>
      <c r="AQ16" s="86">
        <f t="shared" si="20"/>
        <v>0</v>
      </c>
      <c r="AR16" s="8">
        <f t="shared" si="21"/>
        <v>0</v>
      </c>
      <c r="AS16" s="86">
        <f t="shared" si="22"/>
        <v>0</v>
      </c>
      <c r="AT16" s="8">
        <f t="shared" si="23"/>
        <v>0</v>
      </c>
      <c r="AU16" s="86">
        <f t="shared" si="24"/>
        <v>0</v>
      </c>
      <c r="AV16" s="8">
        <f t="shared" si="25"/>
        <v>0</v>
      </c>
      <c r="AW16" s="86">
        <f t="shared" si="26"/>
        <v>0</v>
      </c>
      <c r="AX16" s="8">
        <f t="shared" si="27"/>
        <v>0</v>
      </c>
      <c r="AY16" s="86">
        <f t="shared" si="28"/>
        <v>0</v>
      </c>
      <c r="AZ16" s="8">
        <f t="shared" si="29"/>
        <v>0</v>
      </c>
      <c r="BA16" s="86">
        <f t="shared" si="30"/>
        <v>0</v>
      </c>
      <c r="BB16" s="8">
        <f t="shared" si="31"/>
        <v>0</v>
      </c>
      <c r="BC16" s="86">
        <f t="shared" si="32"/>
        <v>0</v>
      </c>
      <c r="BD16" s="8">
        <f t="shared" si="33"/>
        <v>0</v>
      </c>
      <c r="BE16" s="86">
        <f t="shared" si="34"/>
        <v>0</v>
      </c>
      <c r="BF16" s="35"/>
      <c r="BG16" s="35"/>
      <c r="DP16" s="33"/>
      <c r="DQ16" s="33">
        <f t="shared" si="35"/>
        <v>0</v>
      </c>
      <c r="DR16" s="33"/>
      <c r="DS16" s="33">
        <f t="shared" si="38"/>
        <v>0</v>
      </c>
      <c r="DT16" s="34"/>
      <c r="DU16" s="38">
        <f t="shared" si="36"/>
        <v>0</v>
      </c>
    </row>
    <row r="17" spans="1:125" ht="12.75">
      <c r="A17" s="32" t="s">
        <v>78</v>
      </c>
      <c r="B17" s="32" t="s">
        <v>134</v>
      </c>
      <c r="C17" s="44"/>
      <c r="D17" s="44">
        <f>ROUND(C17*1.065,2)</f>
        <v>0</v>
      </c>
      <c r="E17" s="44">
        <f>ROUND(D17*1.09,2)</f>
        <v>0</v>
      </c>
      <c r="F17" s="44"/>
      <c r="G17" s="44"/>
      <c r="H17" s="44"/>
      <c r="I17" s="44">
        <f aca="true" t="shared" si="39" ref="I17:I31">H17-E17</f>
        <v>0</v>
      </c>
      <c r="J17" s="44"/>
      <c r="K17" s="44"/>
      <c r="L17" s="44"/>
      <c r="M17" s="33">
        <f>ROUND(K17*M$4,2)</f>
        <v>0</v>
      </c>
      <c r="N17" s="33">
        <f t="shared" si="4"/>
        <v>0</v>
      </c>
      <c r="O17" s="72"/>
      <c r="P17" s="46">
        <f t="shared" si="5"/>
        <v>0</v>
      </c>
      <c r="Q17" s="46">
        <f t="shared" si="6"/>
        <v>0</v>
      </c>
      <c r="R17" s="46">
        <f t="shared" si="7"/>
        <v>0</v>
      </c>
      <c r="S17" s="46">
        <f t="shared" si="8"/>
        <v>0</v>
      </c>
      <c r="T17" s="8">
        <f t="shared" si="9"/>
        <v>0</v>
      </c>
      <c r="U17" s="33">
        <f t="shared" si="10"/>
        <v>0</v>
      </c>
      <c r="V17" s="33"/>
      <c r="W17" s="33">
        <f t="shared" si="11"/>
        <v>0</v>
      </c>
      <c r="X17" s="33">
        <f>ROUND(V17*1.085,2)</f>
        <v>0</v>
      </c>
      <c r="Y17" s="33">
        <f t="shared" si="12"/>
        <v>0</v>
      </c>
      <c r="Z17" s="33">
        <f t="shared" si="13"/>
        <v>0</v>
      </c>
      <c r="AA17" s="33"/>
      <c r="AB17" s="42">
        <f t="shared" si="14"/>
        <v>0</v>
      </c>
      <c r="AC17" s="33"/>
      <c r="AD17" s="42">
        <f t="shared" si="15"/>
        <v>0</v>
      </c>
      <c r="AE17" s="33">
        <f t="shared" si="16"/>
        <v>0</v>
      </c>
      <c r="AF17" s="33"/>
      <c r="AG17" s="34"/>
      <c r="AH17" s="34"/>
      <c r="AI17" s="34"/>
      <c r="AJ17" s="34"/>
      <c r="AK17" s="34"/>
      <c r="AL17" s="34"/>
      <c r="AM17" s="8">
        <f t="shared" si="17"/>
        <v>0</v>
      </c>
      <c r="AO17" s="62">
        <f t="shared" si="18"/>
        <v>0</v>
      </c>
      <c r="AP17" s="8">
        <f t="shared" si="19"/>
        <v>0</v>
      </c>
      <c r="AQ17" s="86">
        <f t="shared" si="20"/>
        <v>0</v>
      </c>
      <c r="AR17" s="8">
        <f t="shared" si="21"/>
        <v>0</v>
      </c>
      <c r="AS17" s="86">
        <f t="shared" si="22"/>
        <v>0</v>
      </c>
      <c r="AT17" s="8">
        <f t="shared" si="23"/>
        <v>0</v>
      </c>
      <c r="AU17" s="86">
        <f t="shared" si="24"/>
        <v>0</v>
      </c>
      <c r="AV17" s="8">
        <f t="shared" si="25"/>
        <v>0</v>
      </c>
      <c r="AW17" s="86">
        <f t="shared" si="26"/>
        <v>0</v>
      </c>
      <c r="AX17" s="8">
        <f t="shared" si="27"/>
        <v>0</v>
      </c>
      <c r="AY17" s="86">
        <f t="shared" si="28"/>
        <v>0</v>
      </c>
      <c r="AZ17" s="8">
        <f t="shared" si="29"/>
        <v>0</v>
      </c>
      <c r="BA17" s="86">
        <f t="shared" si="30"/>
        <v>0</v>
      </c>
      <c r="BB17" s="8">
        <f t="shared" si="31"/>
        <v>0</v>
      </c>
      <c r="BC17" s="86">
        <f t="shared" si="32"/>
        <v>0</v>
      </c>
      <c r="BD17" s="8">
        <f t="shared" si="33"/>
        <v>0</v>
      </c>
      <c r="BE17" s="86">
        <f t="shared" si="34"/>
        <v>0</v>
      </c>
      <c r="BF17" s="35"/>
      <c r="BG17" s="35"/>
      <c r="DP17" s="33"/>
      <c r="DQ17" s="33">
        <f t="shared" si="35"/>
        <v>0</v>
      </c>
      <c r="DR17" s="33"/>
      <c r="DS17" s="33">
        <f t="shared" si="38"/>
        <v>0</v>
      </c>
      <c r="DT17" s="34"/>
      <c r="DU17" s="38">
        <f t="shared" si="36"/>
        <v>0</v>
      </c>
    </row>
    <row r="18" spans="1:125" ht="12.75">
      <c r="A18" s="34" t="s">
        <v>73</v>
      </c>
      <c r="B18" s="32" t="s">
        <v>135</v>
      </c>
      <c r="C18" s="44">
        <f>ROUND('[2]Труд_по инв(потере корм)'!B8*2.5,2)</f>
        <v>2250</v>
      </c>
      <c r="D18" s="44">
        <f>ROUND('[2]Труд_по инв(потере корм)'!C8*2.5,2)</f>
        <v>2396.25</v>
      </c>
      <c r="E18" s="44">
        <f>ROUND('[2]Труд_по инв(потере корм)'!D8*2.5,2)</f>
        <v>2611.93</v>
      </c>
      <c r="F18" s="44">
        <f aca="true" t="shared" si="40" ref="F18:F31">G18-E18</f>
        <v>156.72000000000025</v>
      </c>
      <c r="G18" s="44">
        <f>ROUND('[2]Труд_по инв(потере корм)'!F8*2.5,2)</f>
        <v>2768.65</v>
      </c>
      <c r="H18" s="33">
        <f aca="true" t="shared" si="41" ref="H18:H31">ROUND(G18*1.08,2)</f>
        <v>2990.14</v>
      </c>
      <c r="I18" s="44">
        <f t="shared" si="39"/>
        <v>378.21000000000004</v>
      </c>
      <c r="J18" s="34">
        <f aca="true" t="shared" si="42" ref="J18:J31">ROUND(H18*J$4,2)</f>
        <v>3105.04</v>
      </c>
      <c r="K18" s="45">
        <f>ROUND('[2]Труд_по инв(потере корм)'!K8*2.5,2)</f>
        <v>3300.05</v>
      </c>
      <c r="L18" s="45">
        <f aca="true" t="shared" si="43" ref="L18:L31">J18-H18</f>
        <v>114.90000000000009</v>
      </c>
      <c r="M18" s="45">
        <f>ROUND('[2]Труд_по инв(потере корм)'!M8*2.5,2)</f>
        <v>4500.08</v>
      </c>
      <c r="N18" s="45">
        <f t="shared" si="4"/>
        <v>1200.0299999999997</v>
      </c>
      <c r="O18" s="115">
        <f>ROUND('[2]Труд_по инв(потере корм)'!O8*2.5,2)</f>
        <v>4500</v>
      </c>
      <c r="P18" s="48">
        <f t="shared" si="5"/>
        <v>1199.9499999999998</v>
      </c>
      <c r="Q18" s="48">
        <f t="shared" si="6"/>
        <v>5175</v>
      </c>
      <c r="R18" s="48">
        <f t="shared" si="7"/>
        <v>6210</v>
      </c>
      <c r="S18" s="48">
        <f t="shared" si="8"/>
        <v>9000</v>
      </c>
      <c r="T18" s="8">
        <f t="shared" si="9"/>
        <v>1656</v>
      </c>
      <c r="U18" s="33">
        <f t="shared" si="10"/>
        <v>2400</v>
      </c>
      <c r="V18" s="33">
        <f>ROUND('[2]Труд_по инв(потере корм)'!W8*2.5,2)</f>
        <v>4770</v>
      </c>
      <c r="W18" s="33">
        <f t="shared" si="11"/>
        <v>5056.2</v>
      </c>
      <c r="X18" s="33">
        <f>ROUND('[2]Труд_по инв(потере корм)'!AB8*2.5,2)</f>
        <v>5175.45</v>
      </c>
      <c r="Y18" s="33">
        <f t="shared" si="12"/>
        <v>286.1999999999998</v>
      </c>
      <c r="Z18" s="33">
        <f t="shared" si="13"/>
        <v>405.4499999999998</v>
      </c>
      <c r="AA18" s="33">
        <f>2.5*'[2]Труд_по инв(потере корм)'!AE8</f>
        <v>5563.6</v>
      </c>
      <c r="AB18" s="42">
        <f t="shared" si="14"/>
        <v>388.15000000000055</v>
      </c>
      <c r="AC18" s="33">
        <f>2.5*'[2]Труд_по инв(потере корм)'!AG8</f>
        <v>6300</v>
      </c>
      <c r="AD18" s="42">
        <f t="shared" si="15"/>
        <v>736.3999999999996</v>
      </c>
      <c r="AE18" s="33">
        <f t="shared" si="16"/>
        <v>1124.5500000000002</v>
      </c>
      <c r="AF18" s="42">
        <f>ROUND(2.5*'[2]Труд_по инв(потере корм)'!AJ8,2)</f>
        <v>6741</v>
      </c>
      <c r="AG18" s="42">
        <f>ROUND(2.5*'[2]Труд_по инв(потере корм)'!AK8,2)</f>
        <v>6646.5</v>
      </c>
      <c r="AH18" s="42">
        <f>ROUND(2.5*'[2]Труд_по инв(потере корм)'!AL8,2)</f>
        <v>7725</v>
      </c>
      <c r="AI18" s="33">
        <f>2.5*'[2]Труд_по инв(потере корм)'!AM8</f>
        <v>7620</v>
      </c>
      <c r="AJ18" s="42">
        <f>2.5*'[2]Труд_по инв(потере корм)'!AN8</f>
        <v>8039.099999999999</v>
      </c>
      <c r="AK18" s="33">
        <f>2.5*'[2]Труд_по инв(потере корм)'!AO8</f>
        <v>9060</v>
      </c>
      <c r="AL18" s="42">
        <f>2.5*'[2]Труд_по инв(потере корм)'!AP8</f>
        <v>8359.7</v>
      </c>
      <c r="AM18" s="8">
        <f t="shared" si="17"/>
        <v>10419</v>
      </c>
      <c r="AN18">
        <f>1926.53</f>
        <v>1926.53</v>
      </c>
      <c r="AO18" s="62">
        <f t="shared" si="18"/>
        <v>12345.53</v>
      </c>
      <c r="AP18" s="8">
        <f t="shared" si="19"/>
        <v>10872</v>
      </c>
      <c r="AQ18" s="86">
        <f t="shared" si="20"/>
        <v>12798.53</v>
      </c>
      <c r="AR18" s="8">
        <f t="shared" si="21"/>
        <v>11778</v>
      </c>
      <c r="AS18" s="86">
        <f t="shared" si="22"/>
        <v>13704.53</v>
      </c>
      <c r="AT18" s="8">
        <f t="shared" si="23"/>
        <v>12684</v>
      </c>
      <c r="AU18" s="86">
        <f t="shared" si="24"/>
        <v>14610.53</v>
      </c>
      <c r="AV18" s="8">
        <f t="shared" si="25"/>
        <v>13590</v>
      </c>
      <c r="AW18" s="86">
        <f t="shared" si="26"/>
        <v>15516.53</v>
      </c>
      <c r="AX18" s="8">
        <f t="shared" si="27"/>
        <v>14496</v>
      </c>
      <c r="AY18" s="86">
        <f t="shared" si="28"/>
        <v>16422.53</v>
      </c>
      <c r="AZ18" s="8">
        <f t="shared" si="29"/>
        <v>15402</v>
      </c>
      <c r="BA18" s="86">
        <f t="shared" si="30"/>
        <v>17328.53</v>
      </c>
      <c r="BB18" s="8">
        <f t="shared" si="31"/>
        <v>16308</v>
      </c>
      <c r="BC18" s="86">
        <f t="shared" si="32"/>
        <v>18234.53</v>
      </c>
      <c r="BD18" s="8">
        <f t="shared" si="33"/>
        <v>18120</v>
      </c>
      <c r="BE18" s="86">
        <f t="shared" si="34"/>
        <v>20046.53</v>
      </c>
      <c r="BF18" s="38">
        <f>ROUND(2.5*'[2]Труд_по инв(потере корм)'!BL8,2)</f>
        <v>8250.3</v>
      </c>
      <c r="BG18" s="38">
        <f>ROUND(2.5*'[2]Труд_по инв(потере корм)'!BM8,2)</f>
        <v>9750</v>
      </c>
      <c r="DP18" s="33">
        <f>2.5*'[2]Труд_по инв(потере корм)'!BO8</f>
        <v>7800</v>
      </c>
      <c r="DQ18" s="33">
        <f t="shared" si="35"/>
        <v>1500</v>
      </c>
      <c r="DR18" s="33">
        <f>2.5*'[2]Труд_по инв(потере корм)'!BQ8</f>
        <v>7260</v>
      </c>
      <c r="DS18" s="33">
        <f t="shared" si="38"/>
        <v>960</v>
      </c>
      <c r="DT18" s="33">
        <f>2.5*'[2]Труд_по инв(потере корм)'!BS8</f>
        <v>8970</v>
      </c>
      <c r="DU18" s="38">
        <f t="shared" si="36"/>
        <v>1170</v>
      </c>
    </row>
    <row r="19" spans="1:125" ht="12.75">
      <c r="A19" s="34" t="s">
        <v>74</v>
      </c>
      <c r="B19" s="34"/>
      <c r="C19" s="44">
        <f>ROUND('[2]Труд_по инв(потере корм)'!B9*2.5,2)</f>
        <v>2625</v>
      </c>
      <c r="D19" s="44">
        <f>ROUND('[2]Труд_по инв(потере корм)'!C9*2.5,2)</f>
        <v>2795.63</v>
      </c>
      <c r="E19" s="44">
        <f>ROUND('[2]Труд_по инв(потере корм)'!D9*2.5,2)</f>
        <v>3047.23</v>
      </c>
      <c r="F19" s="44">
        <f t="shared" si="40"/>
        <v>182.82000000000016</v>
      </c>
      <c r="G19" s="44">
        <f>ROUND('[2]Труд_по инв(потере корм)'!F9*2.5,2)</f>
        <v>3230.05</v>
      </c>
      <c r="H19" s="33">
        <f t="shared" si="41"/>
        <v>3488.45</v>
      </c>
      <c r="I19" s="44">
        <f t="shared" si="39"/>
        <v>441.2199999999998</v>
      </c>
      <c r="J19" s="34">
        <f t="shared" si="42"/>
        <v>3622.5</v>
      </c>
      <c r="K19" s="33">
        <f>ROUND('[2]Труд_по инв(потере корм)'!K9*2.5,2)</f>
        <v>3850</v>
      </c>
      <c r="L19" s="33">
        <f t="shared" si="43"/>
        <v>134.05000000000018</v>
      </c>
      <c r="M19" s="33">
        <f>ROUND('[2]Труд_по инв(потере корм)'!M9*2.5,2)</f>
        <v>5250</v>
      </c>
      <c r="N19" s="33">
        <f t="shared" si="4"/>
        <v>1400</v>
      </c>
      <c r="O19" s="72">
        <f>ROUND('[2]Труд_по инв(потере корм)'!O9*2.5,2)</f>
        <v>5250</v>
      </c>
      <c r="P19" s="46">
        <f t="shared" si="5"/>
        <v>1400</v>
      </c>
      <c r="Q19" s="46">
        <f t="shared" si="6"/>
        <v>6037.5</v>
      </c>
      <c r="R19" s="46">
        <f t="shared" si="7"/>
        <v>7245</v>
      </c>
      <c r="S19" s="46">
        <f t="shared" si="8"/>
        <v>10500</v>
      </c>
      <c r="T19" s="8">
        <f t="shared" si="9"/>
        <v>1932</v>
      </c>
      <c r="U19" s="33">
        <f t="shared" si="10"/>
        <v>2800</v>
      </c>
      <c r="V19" s="33">
        <f>ROUND('[2]Труд_по инв(потере корм)'!W9*2.5,2)</f>
        <v>5565</v>
      </c>
      <c r="W19" s="33">
        <f t="shared" si="11"/>
        <v>5898.900000000001</v>
      </c>
      <c r="X19" s="33">
        <f>ROUND('[2]Труд_по инв(потере корм)'!AB9*2.5,2)</f>
        <v>6038.03</v>
      </c>
      <c r="Y19" s="33">
        <f t="shared" si="12"/>
        <v>333.90000000000055</v>
      </c>
      <c r="Z19" s="33">
        <f t="shared" si="13"/>
        <v>473.02999999999975</v>
      </c>
      <c r="AA19" s="42">
        <f>2.5*'[2]Труд_по инв(потере корм)'!AE9</f>
        <v>6490.875</v>
      </c>
      <c r="AB19" s="42">
        <f t="shared" si="14"/>
        <v>452.84500000000025</v>
      </c>
      <c r="AC19" s="33">
        <f>2.5*'[2]Труд_по инв(потере корм)'!AG9</f>
        <v>7350</v>
      </c>
      <c r="AD19" s="42">
        <f t="shared" si="15"/>
        <v>859.125</v>
      </c>
      <c r="AE19" s="33">
        <f t="shared" si="16"/>
        <v>1311.9700000000003</v>
      </c>
      <c r="AF19" s="42">
        <f>ROUND(2.5*'[2]Труд_по инв(потере корм)'!AJ9,2)</f>
        <v>7864.5</v>
      </c>
      <c r="AG19" s="42">
        <f>ROUND(2.5*'[2]Труд_по инв(потере корм)'!AK9,2)</f>
        <v>7754.25</v>
      </c>
      <c r="AH19" s="42">
        <f>ROUND(2.5*'[2]Труд_по инв(потере корм)'!AL9,2)</f>
        <v>9012.5</v>
      </c>
      <c r="AI19" s="33">
        <f>2.5*'[2]Труд_по инв(потере корм)'!AM9</f>
        <v>8890</v>
      </c>
      <c r="AJ19" s="42">
        <f>2.5*'[2]Труд_по инв(потере корм)'!AN9</f>
        <v>9378.95</v>
      </c>
      <c r="AK19" s="33">
        <f>2.5*'[2]Труд_по инв(потере корм)'!AO9</f>
        <v>10570</v>
      </c>
      <c r="AL19" s="42">
        <f>2.5*'[2]Труд_по инв(потере корм)'!AP9</f>
        <v>9752.975</v>
      </c>
      <c r="AM19" s="8">
        <f t="shared" si="17"/>
        <v>12155.499999999998</v>
      </c>
      <c r="AN19">
        <f>1926.53</f>
        <v>1926.53</v>
      </c>
      <c r="AO19" s="62">
        <f t="shared" si="18"/>
        <v>14082.029999999999</v>
      </c>
      <c r="AP19" s="8">
        <f t="shared" si="19"/>
        <v>12684</v>
      </c>
      <c r="AQ19" s="86">
        <f t="shared" si="20"/>
        <v>14610.53</v>
      </c>
      <c r="AR19" s="8">
        <f t="shared" si="21"/>
        <v>13741</v>
      </c>
      <c r="AS19" s="86">
        <f t="shared" si="22"/>
        <v>15667.53</v>
      </c>
      <c r="AT19" s="8">
        <f t="shared" si="23"/>
        <v>14797.999999999998</v>
      </c>
      <c r="AU19" s="86">
        <f t="shared" si="24"/>
        <v>16724.53</v>
      </c>
      <c r="AV19" s="8">
        <f t="shared" si="25"/>
        <v>15855</v>
      </c>
      <c r="AW19" s="86">
        <f t="shared" si="26"/>
        <v>17781.53</v>
      </c>
      <c r="AX19" s="8">
        <f t="shared" si="27"/>
        <v>16912</v>
      </c>
      <c r="AY19" s="86">
        <f t="shared" si="28"/>
        <v>18838.53</v>
      </c>
      <c r="AZ19" s="8">
        <f t="shared" si="29"/>
        <v>17969</v>
      </c>
      <c r="BA19" s="86">
        <f t="shared" si="30"/>
        <v>19895.53</v>
      </c>
      <c r="BB19" s="8">
        <f t="shared" si="31"/>
        <v>19026</v>
      </c>
      <c r="BC19" s="86">
        <f t="shared" si="32"/>
        <v>20952.53</v>
      </c>
      <c r="BD19" s="8">
        <f t="shared" si="33"/>
        <v>21140</v>
      </c>
      <c r="BE19" s="86">
        <f t="shared" si="34"/>
        <v>23066.53</v>
      </c>
      <c r="BF19" s="38">
        <f>ROUND(2.5*'[2]Труд_по инв(потере корм)'!BL9,2)</f>
        <v>9625.35</v>
      </c>
      <c r="BG19" s="38">
        <f>ROUND(2.5*'[2]Труд_по инв(потере корм)'!BM9,2)</f>
        <v>11375</v>
      </c>
      <c r="DP19" s="33">
        <f>2.5*'[2]Труд_по инв(потере корм)'!BO9</f>
        <v>9100</v>
      </c>
      <c r="DQ19" s="33">
        <f t="shared" si="35"/>
        <v>1750</v>
      </c>
      <c r="DR19" s="33">
        <f>2.5*'[2]Труд_по инв(потере корм)'!BQ9</f>
        <v>8470</v>
      </c>
      <c r="DS19" s="33">
        <f t="shared" si="38"/>
        <v>1120</v>
      </c>
      <c r="DT19" s="33">
        <f>2.5*'[2]Труд_по инв(потере корм)'!BS9</f>
        <v>10465</v>
      </c>
      <c r="DU19" s="38">
        <f t="shared" si="36"/>
        <v>1365</v>
      </c>
    </row>
    <row r="20" spans="1:125" ht="12.75">
      <c r="A20" s="34" t="s">
        <v>75</v>
      </c>
      <c r="B20" s="34"/>
      <c r="C20" s="44">
        <f>ROUND('[2]Труд_по инв(потере корм)'!B10*2.5,2)</f>
        <v>3000</v>
      </c>
      <c r="D20" s="44">
        <f>ROUND('[2]Труд_по инв(потере корм)'!C10*2.5,2)</f>
        <v>3195</v>
      </c>
      <c r="E20" s="44">
        <f>ROUND('[2]Труд_по инв(потере корм)'!D10*2.5,2)</f>
        <v>3482.55</v>
      </c>
      <c r="F20" s="44">
        <f t="shared" si="40"/>
        <v>208.94999999999982</v>
      </c>
      <c r="G20" s="44">
        <f>ROUND('[2]Труд_по инв(потере корм)'!F10*2.5,2)</f>
        <v>3691.5</v>
      </c>
      <c r="H20" s="33">
        <f t="shared" si="41"/>
        <v>3986.82</v>
      </c>
      <c r="I20" s="44">
        <f t="shared" si="39"/>
        <v>504.27</v>
      </c>
      <c r="J20" s="34">
        <f t="shared" si="42"/>
        <v>4140.02</v>
      </c>
      <c r="K20" s="33">
        <f>ROUND('[2]Труд_по инв(потере корм)'!K10*2.5,2)</f>
        <v>4400.03</v>
      </c>
      <c r="L20" s="33">
        <f t="shared" si="43"/>
        <v>153.20000000000027</v>
      </c>
      <c r="M20" s="33">
        <f>ROUND('[2]Труд_по инв(потере корм)'!M10*2.5,2)</f>
        <v>6000.03</v>
      </c>
      <c r="N20" s="33">
        <f t="shared" si="4"/>
        <v>1600</v>
      </c>
      <c r="O20" s="72">
        <f>ROUND('[2]Труд_по инв(потере корм)'!O10*2.5,2)</f>
        <v>6000</v>
      </c>
      <c r="P20" s="46">
        <f t="shared" si="5"/>
        <v>1599.9700000000003</v>
      </c>
      <c r="Q20" s="46">
        <f t="shared" si="6"/>
        <v>6900</v>
      </c>
      <c r="R20" s="46">
        <f t="shared" si="7"/>
        <v>8280</v>
      </c>
      <c r="S20" s="46">
        <f t="shared" si="8"/>
        <v>12000</v>
      </c>
      <c r="T20" s="8">
        <f t="shared" si="9"/>
        <v>2208</v>
      </c>
      <c r="U20" s="33">
        <f t="shared" si="10"/>
        <v>3200</v>
      </c>
      <c r="V20" s="33">
        <f>ROUND('[2]Труд_по инв(потере корм)'!W10*2.5,2)</f>
        <v>6360</v>
      </c>
      <c r="W20" s="33">
        <f t="shared" si="11"/>
        <v>6741.6</v>
      </c>
      <c r="X20" s="33">
        <f>ROUND('[2]Труд_по инв(потере корм)'!AB10*2.5,2)</f>
        <v>6900.6</v>
      </c>
      <c r="Y20" s="33">
        <f t="shared" si="12"/>
        <v>381.60000000000036</v>
      </c>
      <c r="Z20" s="33">
        <f t="shared" si="13"/>
        <v>540.6000000000004</v>
      </c>
      <c r="AA20" s="33">
        <f>2.5*'[2]Труд_по инв(потере корм)'!AE10</f>
        <v>7418.150000000001</v>
      </c>
      <c r="AB20" s="42">
        <f t="shared" si="14"/>
        <v>517.5500000000002</v>
      </c>
      <c r="AC20" s="33">
        <f>2.5*'[2]Труд_по инв(потере корм)'!AG10</f>
        <v>8400</v>
      </c>
      <c r="AD20" s="42">
        <f t="shared" si="15"/>
        <v>981.8499999999995</v>
      </c>
      <c r="AE20" s="42">
        <f t="shared" si="16"/>
        <v>1499.3999999999996</v>
      </c>
      <c r="AF20" s="42">
        <f>ROUND(2.5*'[2]Труд_по инв(потере корм)'!AJ10,2)</f>
        <v>8988</v>
      </c>
      <c r="AG20" s="42">
        <f>ROUND(2.5*'[2]Труд_по инв(потере корм)'!AK10,2)</f>
        <v>8862</v>
      </c>
      <c r="AH20" s="42">
        <f>ROUND(2.5*'[2]Труд_по инв(потере корм)'!AL10,2)</f>
        <v>10300</v>
      </c>
      <c r="AI20" s="33">
        <f>2.5*'[2]Труд_по инв(потере корм)'!AM10</f>
        <v>10160</v>
      </c>
      <c r="AJ20" s="42">
        <f>2.5*'[2]Труд_по инв(потере корм)'!AN10</f>
        <v>10718.800000000001</v>
      </c>
      <c r="AK20" s="33">
        <f>2.5*'[2]Труд_по инв(потере корм)'!AO10</f>
        <v>12080</v>
      </c>
      <c r="AL20" s="42">
        <f>2.5*'[2]Труд_по инв(потере корм)'!AP10</f>
        <v>11146.275000000001</v>
      </c>
      <c r="AM20" s="8">
        <f t="shared" si="17"/>
        <v>13891.999999999998</v>
      </c>
      <c r="AN20">
        <f>1926.53</f>
        <v>1926.53</v>
      </c>
      <c r="AO20" s="62">
        <f t="shared" si="18"/>
        <v>15818.529999999999</v>
      </c>
      <c r="AP20" s="8">
        <f t="shared" si="19"/>
        <v>14496</v>
      </c>
      <c r="AQ20" s="86">
        <f t="shared" si="20"/>
        <v>16422.53</v>
      </c>
      <c r="AR20" s="8">
        <f t="shared" si="21"/>
        <v>15704</v>
      </c>
      <c r="AS20" s="86">
        <f t="shared" si="22"/>
        <v>17630.53</v>
      </c>
      <c r="AT20" s="8">
        <f t="shared" si="23"/>
        <v>16912</v>
      </c>
      <c r="AU20" s="86">
        <f t="shared" si="24"/>
        <v>18838.53</v>
      </c>
      <c r="AV20" s="8">
        <f t="shared" si="25"/>
        <v>18120</v>
      </c>
      <c r="AW20" s="86">
        <f t="shared" si="26"/>
        <v>20046.53</v>
      </c>
      <c r="AX20" s="8">
        <f t="shared" si="27"/>
        <v>19328</v>
      </c>
      <c r="AY20" s="86">
        <f t="shared" si="28"/>
        <v>21254.53</v>
      </c>
      <c r="AZ20" s="8">
        <f t="shared" si="29"/>
        <v>20536</v>
      </c>
      <c r="BA20" s="86">
        <f t="shared" si="30"/>
        <v>22462.53</v>
      </c>
      <c r="BB20" s="8">
        <f t="shared" si="31"/>
        <v>21744</v>
      </c>
      <c r="BC20" s="86">
        <f t="shared" si="32"/>
        <v>23670.53</v>
      </c>
      <c r="BD20" s="8">
        <f t="shared" si="33"/>
        <v>24160</v>
      </c>
      <c r="BE20" s="86">
        <f t="shared" si="34"/>
        <v>26086.53</v>
      </c>
      <c r="BF20" s="38">
        <f>ROUND(2.5*'[2]Труд_по инв(потере корм)'!BL10,2)</f>
        <v>11000.4</v>
      </c>
      <c r="BG20" s="38">
        <f>ROUND(2.5*'[2]Труд_по инв(потере корм)'!BM10,2)</f>
        <v>13000</v>
      </c>
      <c r="DP20" s="33">
        <f>2.5*'[2]Труд_по инв(потере корм)'!BO10</f>
        <v>10400</v>
      </c>
      <c r="DQ20" s="33">
        <f t="shared" si="35"/>
        <v>2000</v>
      </c>
      <c r="DR20" s="33">
        <f>2.5*'[2]Труд_по инв(потере корм)'!BQ10</f>
        <v>9680</v>
      </c>
      <c r="DS20" s="33">
        <f t="shared" si="38"/>
        <v>1280</v>
      </c>
      <c r="DT20" s="33">
        <f>2.5*'[2]Труд_по инв(потере корм)'!BS10</f>
        <v>11960</v>
      </c>
      <c r="DU20" s="38">
        <f t="shared" si="36"/>
        <v>1560</v>
      </c>
    </row>
    <row r="21" spans="1:125" ht="12.75">
      <c r="A21" s="34" t="s">
        <v>76</v>
      </c>
      <c r="B21" s="34"/>
      <c r="C21" s="44">
        <f>ROUND('[2]Труд_по инв(потере корм)'!B11*2.5,2)</f>
        <v>3375</v>
      </c>
      <c r="D21" s="44">
        <f>ROUND('[2]Труд_по инв(потере корм)'!C11*2.5,2)</f>
        <v>3594.38</v>
      </c>
      <c r="E21" s="44">
        <f>ROUND('[2]Труд_по инв(потере корм)'!D11*2.5,2)</f>
        <v>3917.88</v>
      </c>
      <c r="F21" s="44">
        <f t="shared" si="40"/>
        <v>235.0699999999997</v>
      </c>
      <c r="G21" s="44">
        <f>ROUND('[2]Труд_по инв(потере корм)'!F11*2.5,2)</f>
        <v>4152.95</v>
      </c>
      <c r="H21" s="33">
        <f t="shared" si="41"/>
        <v>4485.19</v>
      </c>
      <c r="I21" s="44">
        <f t="shared" si="39"/>
        <v>567.3099999999995</v>
      </c>
      <c r="J21" s="34">
        <f t="shared" si="42"/>
        <v>4657.54</v>
      </c>
      <c r="K21" s="33">
        <f>ROUND('[2]Труд_по инв(потере корм)'!K11*2.5,2)</f>
        <v>4950.03</v>
      </c>
      <c r="L21" s="33">
        <f t="shared" si="43"/>
        <v>172.35000000000036</v>
      </c>
      <c r="M21" s="33">
        <f>ROUND('[2]Труд_по инв(потере корм)'!M11*2.5,2)</f>
        <v>6750.03</v>
      </c>
      <c r="N21" s="33">
        <f t="shared" si="4"/>
        <v>1800</v>
      </c>
      <c r="O21" s="72">
        <f>ROUND('[2]Труд_по инв(потере корм)'!O11*2.5,2)</f>
        <v>6750</v>
      </c>
      <c r="P21" s="46">
        <f t="shared" si="5"/>
        <v>1799.9700000000003</v>
      </c>
      <c r="Q21" s="46">
        <f t="shared" si="6"/>
        <v>7762.5</v>
      </c>
      <c r="R21" s="46">
        <f t="shared" si="7"/>
        <v>9315</v>
      </c>
      <c r="S21" s="46">
        <f t="shared" si="8"/>
        <v>13500</v>
      </c>
      <c r="T21" s="8">
        <f t="shared" si="9"/>
        <v>2484</v>
      </c>
      <c r="U21" s="33">
        <f t="shared" si="10"/>
        <v>3600</v>
      </c>
      <c r="V21" s="33">
        <f>ROUND('[2]Труд_по инв(потере корм)'!W11*2.5,2)</f>
        <v>7155</v>
      </c>
      <c r="W21" s="33">
        <f t="shared" si="11"/>
        <v>7584.3</v>
      </c>
      <c r="X21" s="33">
        <f>ROUND('[2]Труд_по инв(потере корм)'!AB11*2.5,2)</f>
        <v>7763.18</v>
      </c>
      <c r="Y21" s="33">
        <f t="shared" si="12"/>
        <v>429.3000000000002</v>
      </c>
      <c r="Z21" s="33">
        <f t="shared" si="13"/>
        <v>608.1800000000003</v>
      </c>
      <c r="AA21" s="42">
        <f>2.5*'[2]Труд_по инв(потере корм)'!AE11</f>
        <v>8345.425</v>
      </c>
      <c r="AB21" s="42">
        <f t="shared" si="14"/>
        <v>582.244999999999</v>
      </c>
      <c r="AC21" s="33">
        <f>2.5*'[2]Труд_по инв(потере корм)'!AG11</f>
        <v>9450</v>
      </c>
      <c r="AD21" s="42">
        <f t="shared" si="15"/>
        <v>1104.5750000000007</v>
      </c>
      <c r="AE21" s="33">
        <f t="shared" si="16"/>
        <v>1686.8199999999997</v>
      </c>
      <c r="AF21" s="42">
        <f>ROUND(2.5*'[2]Труд_по инв(потере корм)'!AJ11,2)</f>
        <v>10111.5</v>
      </c>
      <c r="AG21" s="42">
        <f>ROUND(2.5*'[2]Труд_по инв(потере корм)'!AK11,2)</f>
        <v>9969.75</v>
      </c>
      <c r="AH21" s="42">
        <f>ROUND(2.5*'[2]Труд_по инв(потере корм)'!AL11,2)</f>
        <v>11587.5</v>
      </c>
      <c r="AI21" s="33">
        <f>2.5*'[2]Труд_по инв(потере корм)'!AM11</f>
        <v>11430</v>
      </c>
      <c r="AJ21" s="42">
        <f>2.5*'[2]Труд_по инв(потере корм)'!AN11</f>
        <v>12058.65</v>
      </c>
      <c r="AK21" s="33">
        <f>2.5*'[2]Труд_по инв(потере корм)'!AO11</f>
        <v>13590</v>
      </c>
      <c r="AL21" s="42">
        <f>2.5*'[2]Труд_по инв(потере корм)'!AP11</f>
        <v>12539.55</v>
      </c>
      <c r="AM21" s="8">
        <f t="shared" si="17"/>
        <v>15628.499999999998</v>
      </c>
      <c r="AN21">
        <f>1926.53</f>
        <v>1926.53</v>
      </c>
      <c r="AO21" s="62">
        <f t="shared" si="18"/>
        <v>17555.03</v>
      </c>
      <c r="AP21" s="8">
        <f t="shared" si="19"/>
        <v>16308</v>
      </c>
      <c r="AQ21" s="86">
        <f t="shared" si="20"/>
        <v>18234.53</v>
      </c>
      <c r="AR21" s="8">
        <f t="shared" si="21"/>
        <v>17667</v>
      </c>
      <c r="AS21" s="86">
        <f t="shared" si="22"/>
        <v>19593.53</v>
      </c>
      <c r="AT21" s="8">
        <f t="shared" si="23"/>
        <v>19026</v>
      </c>
      <c r="AU21" s="86">
        <f t="shared" si="24"/>
        <v>20952.53</v>
      </c>
      <c r="AV21" s="8">
        <f t="shared" si="25"/>
        <v>20385</v>
      </c>
      <c r="AW21" s="86">
        <f t="shared" si="26"/>
        <v>22311.53</v>
      </c>
      <c r="AX21" s="8">
        <f t="shared" si="27"/>
        <v>21744</v>
      </c>
      <c r="AY21" s="86">
        <f t="shared" si="28"/>
        <v>23670.53</v>
      </c>
      <c r="AZ21" s="8">
        <f t="shared" si="29"/>
        <v>23103</v>
      </c>
      <c r="BA21" s="86">
        <f t="shared" si="30"/>
        <v>25029.53</v>
      </c>
      <c r="BB21" s="8">
        <f t="shared" si="31"/>
        <v>24462</v>
      </c>
      <c r="BC21" s="86">
        <f t="shared" si="32"/>
        <v>26388.53</v>
      </c>
      <c r="BD21" s="8">
        <f t="shared" si="33"/>
        <v>27180</v>
      </c>
      <c r="BE21" s="86">
        <f t="shared" si="34"/>
        <v>29106.53</v>
      </c>
      <c r="BF21" s="38">
        <f>ROUND(2.5*'[2]Труд_по инв(потере корм)'!BL11,2)</f>
        <v>12375.45</v>
      </c>
      <c r="BG21" s="38">
        <f>ROUND(2.5*'[2]Труд_по инв(потере корм)'!BM11,2)</f>
        <v>14625</v>
      </c>
      <c r="DP21" s="33">
        <f>2.5*'[2]Труд_по инв(потере корм)'!BO11</f>
        <v>11700</v>
      </c>
      <c r="DQ21" s="33">
        <f t="shared" si="35"/>
        <v>2250</v>
      </c>
      <c r="DR21" s="33">
        <f>2.5*'[2]Труд_по инв(потере корм)'!BQ11</f>
        <v>10890</v>
      </c>
      <c r="DS21" s="33">
        <f t="shared" si="38"/>
        <v>1440</v>
      </c>
      <c r="DT21" s="33">
        <f>2.5*'[2]Труд_по инв(потере корм)'!BS11</f>
        <v>13455</v>
      </c>
      <c r="DU21" s="38">
        <f t="shared" si="36"/>
        <v>1755</v>
      </c>
    </row>
    <row r="22" spans="1:125" ht="12.75">
      <c r="A22" s="32" t="s">
        <v>90</v>
      </c>
      <c r="B22" s="32" t="s">
        <v>134</v>
      </c>
      <c r="C22" s="44">
        <f>'[2]Труд_по инв(потере корм)'!B12*2.5</f>
        <v>0</v>
      </c>
      <c r="D22" s="44">
        <f>ROUND(C22*1.065,2)</f>
        <v>0</v>
      </c>
      <c r="E22" s="44">
        <f>ROUND(D22*1.09,2)</f>
        <v>0</v>
      </c>
      <c r="F22" s="44">
        <f t="shared" si="40"/>
        <v>0</v>
      </c>
      <c r="G22" s="44"/>
      <c r="H22" s="33">
        <f t="shared" si="41"/>
        <v>0</v>
      </c>
      <c r="I22" s="44">
        <f t="shared" si="39"/>
        <v>0</v>
      </c>
      <c r="J22" s="34">
        <f t="shared" si="42"/>
        <v>0</v>
      </c>
      <c r="K22" s="34"/>
      <c r="L22" s="34">
        <f t="shared" si="43"/>
        <v>0</v>
      </c>
      <c r="M22" s="33">
        <f>ROUND(K22*M$4,2)</f>
        <v>0</v>
      </c>
      <c r="N22" s="33">
        <f t="shared" si="4"/>
        <v>0</v>
      </c>
      <c r="O22" s="72"/>
      <c r="P22" s="46">
        <f t="shared" si="5"/>
        <v>0</v>
      </c>
      <c r="Q22" s="46">
        <f t="shared" si="6"/>
        <v>0</v>
      </c>
      <c r="R22" s="46">
        <f t="shared" si="7"/>
        <v>0</v>
      </c>
      <c r="S22" s="46">
        <f t="shared" si="8"/>
        <v>0</v>
      </c>
      <c r="T22" s="8">
        <f t="shared" si="9"/>
        <v>0</v>
      </c>
      <c r="U22" s="33">
        <f t="shared" si="10"/>
        <v>0</v>
      </c>
      <c r="V22" s="33"/>
      <c r="W22" s="33">
        <f t="shared" si="11"/>
        <v>0</v>
      </c>
      <c r="X22" s="33">
        <f>ROUND(V22*1.085,2)</f>
        <v>0</v>
      </c>
      <c r="Y22" s="33">
        <f t="shared" si="12"/>
        <v>0</v>
      </c>
      <c r="Z22" s="33">
        <f t="shared" si="13"/>
        <v>0</v>
      </c>
      <c r="AA22" s="33"/>
      <c r="AB22" s="42">
        <f t="shared" si="14"/>
        <v>0</v>
      </c>
      <c r="AC22" s="33">
        <f>2.5*'[2]Труд_по инв(потере корм)'!AG12</f>
        <v>0</v>
      </c>
      <c r="AD22" s="42">
        <f t="shared" si="15"/>
        <v>0</v>
      </c>
      <c r="AE22" s="33">
        <f t="shared" si="16"/>
        <v>0</v>
      </c>
      <c r="AF22" s="33"/>
      <c r="AG22" s="34"/>
      <c r="AH22" s="34"/>
      <c r="AI22" s="34"/>
      <c r="AJ22" s="34"/>
      <c r="AK22" s="34"/>
      <c r="AL22" s="34"/>
      <c r="AM22" s="8">
        <f t="shared" si="17"/>
        <v>0</v>
      </c>
      <c r="AO22" s="62">
        <f t="shared" si="18"/>
        <v>0</v>
      </c>
      <c r="AP22" s="8">
        <f t="shared" si="19"/>
        <v>0</v>
      </c>
      <c r="AQ22" s="86">
        <f t="shared" si="20"/>
        <v>0</v>
      </c>
      <c r="AR22" s="8">
        <f t="shared" si="21"/>
        <v>0</v>
      </c>
      <c r="AS22" s="86">
        <f t="shared" si="22"/>
        <v>0</v>
      </c>
      <c r="AT22" s="8">
        <f t="shared" si="23"/>
        <v>0</v>
      </c>
      <c r="AU22" s="86">
        <f t="shared" si="24"/>
        <v>0</v>
      </c>
      <c r="AV22" s="8">
        <f t="shared" si="25"/>
        <v>0</v>
      </c>
      <c r="AW22" s="86">
        <f t="shared" si="26"/>
        <v>0</v>
      </c>
      <c r="AX22" s="8">
        <f t="shared" si="27"/>
        <v>0</v>
      </c>
      <c r="AY22" s="86">
        <f t="shared" si="28"/>
        <v>0</v>
      </c>
      <c r="AZ22" s="8">
        <f t="shared" si="29"/>
        <v>0</v>
      </c>
      <c r="BA22" s="86">
        <f t="shared" si="30"/>
        <v>0</v>
      </c>
      <c r="BB22" s="8">
        <f t="shared" si="31"/>
        <v>0</v>
      </c>
      <c r="BC22" s="86">
        <f t="shared" si="32"/>
        <v>0</v>
      </c>
      <c r="BD22" s="8">
        <f t="shared" si="33"/>
        <v>0</v>
      </c>
      <c r="BE22" s="86">
        <f t="shared" si="34"/>
        <v>0</v>
      </c>
      <c r="BF22" s="35"/>
      <c r="BG22" s="35"/>
      <c r="DP22" s="33"/>
      <c r="DQ22" s="33">
        <f t="shared" si="35"/>
        <v>0</v>
      </c>
      <c r="DR22" s="33"/>
      <c r="DS22" s="33">
        <f t="shared" si="38"/>
        <v>0</v>
      </c>
      <c r="DT22" s="34"/>
      <c r="DU22" s="38">
        <f t="shared" si="36"/>
        <v>0</v>
      </c>
    </row>
    <row r="23" spans="1:125" ht="12.75">
      <c r="A23" s="34" t="s">
        <v>73</v>
      </c>
      <c r="B23" s="32" t="s">
        <v>136</v>
      </c>
      <c r="C23" s="44">
        <f>ROUND('[2]Труд_по инв(потере корм)'!B13*2.5,2)</f>
        <v>1125</v>
      </c>
      <c r="D23" s="44">
        <f>ROUND('[2]Труд_по инв(потере корм)'!C13*2.5,2)</f>
        <v>1198.13</v>
      </c>
      <c r="E23" s="44">
        <f>ROUND('[2]Труд_по инв(потере корм)'!D13*2.5,2)</f>
        <v>1305.95</v>
      </c>
      <c r="F23" s="44">
        <f t="shared" si="40"/>
        <v>78.34999999999991</v>
      </c>
      <c r="G23" s="44">
        <f>ROUND('[2]Труд_по инв(потере корм)'!F13*2.5,2)</f>
        <v>1384.3</v>
      </c>
      <c r="H23" s="33">
        <f t="shared" si="41"/>
        <v>1495.04</v>
      </c>
      <c r="I23" s="44">
        <f t="shared" si="39"/>
        <v>189.08999999999992</v>
      </c>
      <c r="J23" s="34">
        <f t="shared" si="42"/>
        <v>1552.49</v>
      </c>
      <c r="K23" s="45">
        <f>ROUND('[2]Труд_по инв(потере корм)'!K13*2.5,2)</f>
        <v>1650</v>
      </c>
      <c r="L23" s="45">
        <f t="shared" si="43"/>
        <v>57.450000000000045</v>
      </c>
      <c r="M23" s="45">
        <f>ROUND('[2]Труд_по инв(потере корм)'!M13*2.5,2)</f>
        <v>2250</v>
      </c>
      <c r="N23" s="45">
        <f t="shared" si="4"/>
        <v>600</v>
      </c>
      <c r="O23" s="115">
        <f>ROUND('[2]Труд_по инв(потере корм)'!O13*2.5,2)</f>
        <v>2250</v>
      </c>
      <c r="P23" s="48">
        <f t="shared" si="5"/>
        <v>600</v>
      </c>
      <c r="Q23" s="48">
        <f t="shared" si="6"/>
        <v>2587.5</v>
      </c>
      <c r="R23" s="48">
        <f t="shared" si="7"/>
        <v>3105</v>
      </c>
      <c r="S23" s="48">
        <f t="shared" si="8"/>
        <v>4500</v>
      </c>
      <c r="T23" s="8">
        <f t="shared" si="9"/>
        <v>828</v>
      </c>
      <c r="U23" s="33">
        <f t="shared" si="10"/>
        <v>1200</v>
      </c>
      <c r="V23" s="33">
        <f>ROUND('[2]Труд_по инв(потере корм)'!W13*2.5,2)</f>
        <v>2385</v>
      </c>
      <c r="W23" s="33">
        <f t="shared" si="11"/>
        <v>2528.1</v>
      </c>
      <c r="X23" s="33">
        <f>ROUND('[2]Труд_по инв(потере корм)'!AB13*2.5,2)</f>
        <v>2587.73</v>
      </c>
      <c r="Y23" s="33">
        <f t="shared" si="12"/>
        <v>143.0999999999999</v>
      </c>
      <c r="Z23" s="33">
        <f t="shared" si="13"/>
        <v>202.73000000000002</v>
      </c>
      <c r="AA23" s="42">
        <f>2.5*'[2]Труд_по инв(потере корм)'!AE13</f>
        <v>2781.8</v>
      </c>
      <c r="AB23" s="42">
        <f t="shared" si="14"/>
        <v>194.07000000000016</v>
      </c>
      <c r="AC23" s="33">
        <f>2.5*'[2]Труд_по инв(потере корм)'!AG13</f>
        <v>3150</v>
      </c>
      <c r="AD23" s="42">
        <f t="shared" si="15"/>
        <v>368.1999999999998</v>
      </c>
      <c r="AE23" s="33">
        <f t="shared" si="16"/>
        <v>562.27</v>
      </c>
      <c r="AF23" s="42">
        <f>ROUND(2.5*'[2]Труд_по инв(потере корм)'!AJ13,2)</f>
        <v>3370.5</v>
      </c>
      <c r="AG23" s="42">
        <f>ROUND(2.5*'[2]Труд_по инв(потере корм)'!AK13,2)</f>
        <v>3323.25</v>
      </c>
      <c r="AH23" s="42">
        <f>ROUND(2.5*'[2]Труд_по инв(потере корм)'!AL13,2)</f>
        <v>3862.5</v>
      </c>
      <c r="AI23" s="33">
        <f>2.5*'[2]Труд_по инв(потере корм)'!AM13</f>
        <v>3810</v>
      </c>
      <c r="AJ23" s="42">
        <f>2.5*'[2]Труд_по инв(потере корм)'!AN13</f>
        <v>4019.5499999999997</v>
      </c>
      <c r="AK23" s="33">
        <f>2.5*'[2]Труд_по инв(потере корм)'!AO13</f>
        <v>4530</v>
      </c>
      <c r="AL23" s="42">
        <f>2.5*'[2]Труд_по инв(потере корм)'!AP13</f>
        <v>4179.85</v>
      </c>
      <c r="AM23" s="8">
        <f t="shared" si="17"/>
        <v>5209.5</v>
      </c>
      <c r="AN23">
        <f>1376.1</f>
        <v>1376.1</v>
      </c>
      <c r="AO23" s="62">
        <f t="shared" si="18"/>
        <v>6585.6</v>
      </c>
      <c r="AP23" s="8">
        <f t="shared" si="19"/>
        <v>5436</v>
      </c>
      <c r="AQ23" s="86">
        <f t="shared" si="20"/>
        <v>6812.1</v>
      </c>
      <c r="AR23" s="8">
        <f t="shared" si="21"/>
        <v>5889</v>
      </c>
      <c r="AS23" s="86">
        <f t="shared" si="22"/>
        <v>7265.1</v>
      </c>
      <c r="AT23" s="8">
        <f t="shared" si="23"/>
        <v>6342</v>
      </c>
      <c r="AU23" s="86">
        <f t="shared" si="24"/>
        <v>7718.1</v>
      </c>
      <c r="AV23" s="8">
        <f t="shared" si="25"/>
        <v>6795</v>
      </c>
      <c r="AW23" s="86">
        <f t="shared" si="26"/>
        <v>8171.1</v>
      </c>
      <c r="AX23" s="8">
        <f t="shared" si="27"/>
        <v>7248</v>
      </c>
      <c r="AY23" s="86">
        <f t="shared" si="28"/>
        <v>8624.1</v>
      </c>
      <c r="AZ23" s="8">
        <f t="shared" si="29"/>
        <v>7701</v>
      </c>
      <c r="BA23" s="86">
        <f t="shared" si="30"/>
        <v>9077.1</v>
      </c>
      <c r="BB23" s="8">
        <f t="shared" si="31"/>
        <v>8154</v>
      </c>
      <c r="BC23" s="86">
        <f t="shared" si="32"/>
        <v>9530.1</v>
      </c>
      <c r="BD23" s="8">
        <f t="shared" si="33"/>
        <v>9060</v>
      </c>
      <c r="BE23" s="86">
        <f t="shared" si="34"/>
        <v>10436.1</v>
      </c>
      <c r="BF23" s="38">
        <f>ROUND(2.5*'[2]Труд_по инв(потере корм)'!BL13,2)</f>
        <v>4125.15</v>
      </c>
      <c r="BG23" s="38">
        <f>ROUND(2.5*'[2]Труд_по инв(потере корм)'!BM13,2)</f>
        <v>4875</v>
      </c>
      <c r="DP23" s="33">
        <f>2.5*'[2]Труд_по инв(потере корм)'!BO13</f>
        <v>3900</v>
      </c>
      <c r="DQ23" s="33">
        <f t="shared" si="35"/>
        <v>750</v>
      </c>
      <c r="DR23" s="33">
        <f>2.5*'[2]Труд_по инв(потере корм)'!BQ13</f>
        <v>3630</v>
      </c>
      <c r="DS23" s="33">
        <f t="shared" si="38"/>
        <v>480</v>
      </c>
      <c r="DT23" s="33">
        <f>2.5*'[2]Труд_по инв(потере корм)'!BS13</f>
        <v>4485</v>
      </c>
      <c r="DU23" s="38">
        <f t="shared" si="36"/>
        <v>585</v>
      </c>
    </row>
    <row r="24" spans="1:125" ht="12.75">
      <c r="A24" s="34" t="s">
        <v>74</v>
      </c>
      <c r="B24" s="34"/>
      <c r="C24" s="44">
        <f>ROUND('[2]Труд_по инв(потере корм)'!B14*2.5,2)</f>
        <v>1500</v>
      </c>
      <c r="D24" s="44">
        <f>ROUND('[2]Труд_по инв(потере корм)'!C14*2.5,2)</f>
        <v>1597.5</v>
      </c>
      <c r="E24" s="44">
        <f>ROUND('[2]Труд_по инв(потере корм)'!D14*2.5,2)</f>
        <v>1741.28</v>
      </c>
      <c r="F24" s="44">
        <f t="shared" si="40"/>
        <v>104.47000000000003</v>
      </c>
      <c r="G24" s="44">
        <f>ROUND('[2]Труд_по инв(потере корм)'!F14*2.5,2)</f>
        <v>1845.75</v>
      </c>
      <c r="H24" s="33">
        <f t="shared" si="41"/>
        <v>1993.41</v>
      </c>
      <c r="I24" s="44">
        <f t="shared" si="39"/>
        <v>252.1300000000001</v>
      </c>
      <c r="J24" s="34">
        <f t="shared" si="42"/>
        <v>2070.01</v>
      </c>
      <c r="K24" s="33">
        <f>ROUND('[2]Труд_по инв(потере корм)'!K14*2.5,2)</f>
        <v>2200</v>
      </c>
      <c r="L24" s="33">
        <f t="shared" si="43"/>
        <v>76.60000000000014</v>
      </c>
      <c r="M24" s="33">
        <f>ROUND('[2]Труд_по инв(потере корм)'!M14*2.5,2)</f>
        <v>3000</v>
      </c>
      <c r="N24" s="33">
        <f t="shared" si="4"/>
        <v>800</v>
      </c>
      <c r="O24" s="72">
        <f>ROUND('[2]Труд_по инв(потере корм)'!O14*2.5,2)</f>
        <v>3000</v>
      </c>
      <c r="P24" s="46">
        <f t="shared" si="5"/>
        <v>800</v>
      </c>
      <c r="Q24" s="46">
        <f t="shared" si="6"/>
        <v>3450</v>
      </c>
      <c r="R24" s="46">
        <f t="shared" si="7"/>
        <v>4140</v>
      </c>
      <c r="S24" s="46">
        <f t="shared" si="8"/>
        <v>6000</v>
      </c>
      <c r="T24" s="8">
        <f t="shared" si="9"/>
        <v>1104</v>
      </c>
      <c r="U24" s="33">
        <f t="shared" si="10"/>
        <v>1600</v>
      </c>
      <c r="V24" s="33">
        <f>ROUND('[2]Труд_по инв(потере корм)'!W14*2.5,2)</f>
        <v>3180</v>
      </c>
      <c r="W24" s="33">
        <f t="shared" si="11"/>
        <v>3370.8</v>
      </c>
      <c r="X24" s="33">
        <f>ROUND('[2]Труд_по инв(потере корм)'!AB14*2.5,2)</f>
        <v>3450.3</v>
      </c>
      <c r="Y24" s="33">
        <f t="shared" si="12"/>
        <v>190.80000000000018</v>
      </c>
      <c r="Z24" s="33">
        <f t="shared" si="13"/>
        <v>270.3000000000002</v>
      </c>
      <c r="AA24" s="42">
        <f>2.5*'[2]Труд_по инв(потере корм)'!AE14</f>
        <v>3709.0750000000003</v>
      </c>
      <c r="AB24" s="42">
        <f t="shared" si="14"/>
        <v>258.7750000000001</v>
      </c>
      <c r="AC24" s="33">
        <f>2.5*'[2]Труд_по инв(потере корм)'!AG14</f>
        <v>4200</v>
      </c>
      <c r="AD24" s="42">
        <f t="shared" si="15"/>
        <v>490.9249999999997</v>
      </c>
      <c r="AE24" s="42">
        <f t="shared" si="16"/>
        <v>749.6999999999998</v>
      </c>
      <c r="AF24" s="42">
        <f>ROUND(2.5*'[2]Труд_по инв(потере корм)'!AJ14,2)</f>
        <v>4494</v>
      </c>
      <c r="AG24" s="42">
        <f>ROUND(2.5*'[2]Труд_по инв(потере корм)'!AK14,2)</f>
        <v>4431</v>
      </c>
      <c r="AH24" s="42">
        <f>ROUND(2.5*'[2]Труд_по инв(потере корм)'!AL14,2)</f>
        <v>5150</v>
      </c>
      <c r="AI24" s="33">
        <f>2.5*'[2]Труд_по инв(потере корм)'!AM14</f>
        <v>5080</v>
      </c>
      <c r="AJ24" s="42">
        <f>2.5*'[2]Труд_по инв(потере корм)'!AN14</f>
        <v>5359.400000000001</v>
      </c>
      <c r="AK24" s="33">
        <f>2.5*'[2]Труд_по инв(потере корм)'!AO14</f>
        <v>6040</v>
      </c>
      <c r="AL24" s="42">
        <f>2.5*'[2]Труд_по инв(потере корм)'!AP14</f>
        <v>5573.125</v>
      </c>
      <c r="AM24" s="8">
        <f t="shared" si="17"/>
        <v>6945.999999999999</v>
      </c>
      <c r="AN24">
        <f>1376.1</f>
        <v>1376.1</v>
      </c>
      <c r="AO24" s="62">
        <f t="shared" si="18"/>
        <v>8322.099999999999</v>
      </c>
      <c r="AP24" s="8">
        <f t="shared" si="19"/>
        <v>7248</v>
      </c>
      <c r="AQ24" s="86">
        <f t="shared" si="20"/>
        <v>8624.1</v>
      </c>
      <c r="AR24" s="8">
        <f t="shared" si="21"/>
        <v>7852</v>
      </c>
      <c r="AS24" s="86">
        <f t="shared" si="22"/>
        <v>9228.1</v>
      </c>
      <c r="AT24" s="8">
        <f t="shared" si="23"/>
        <v>8456</v>
      </c>
      <c r="AU24" s="86">
        <f t="shared" si="24"/>
        <v>9832.1</v>
      </c>
      <c r="AV24" s="8">
        <f t="shared" si="25"/>
        <v>9060</v>
      </c>
      <c r="AW24" s="86">
        <f t="shared" si="26"/>
        <v>10436.1</v>
      </c>
      <c r="AX24" s="8">
        <f t="shared" si="27"/>
        <v>9664</v>
      </c>
      <c r="AY24" s="86">
        <f t="shared" si="28"/>
        <v>11040.1</v>
      </c>
      <c r="AZ24" s="8">
        <f t="shared" si="29"/>
        <v>10268</v>
      </c>
      <c r="BA24" s="86">
        <f t="shared" si="30"/>
        <v>11644.1</v>
      </c>
      <c r="BB24" s="8">
        <f t="shared" si="31"/>
        <v>10872</v>
      </c>
      <c r="BC24" s="86">
        <f t="shared" si="32"/>
        <v>12248.1</v>
      </c>
      <c r="BD24" s="8">
        <f t="shared" si="33"/>
        <v>12080</v>
      </c>
      <c r="BE24" s="86">
        <f t="shared" si="34"/>
        <v>13456.1</v>
      </c>
      <c r="BF24" s="38">
        <f>ROUND(2.5*'[2]Труд_по инв(потере корм)'!BL14,2)</f>
        <v>5500.2</v>
      </c>
      <c r="BG24" s="38">
        <f>ROUND(2.5*'[2]Труд_по инв(потере корм)'!BM14,2)</f>
        <v>6500</v>
      </c>
      <c r="DP24" s="33">
        <f>2.5*'[2]Труд_по инв(потере корм)'!BO14</f>
        <v>5200</v>
      </c>
      <c r="DQ24" s="33">
        <f t="shared" si="35"/>
        <v>1000</v>
      </c>
      <c r="DR24" s="33">
        <f>2.5*'[2]Труд_по инв(потере корм)'!BQ14</f>
        <v>4840</v>
      </c>
      <c r="DS24" s="33">
        <f t="shared" si="38"/>
        <v>640</v>
      </c>
      <c r="DT24" s="33">
        <f>2.5*'[2]Труд_по инв(потере корм)'!BS14</f>
        <v>5980</v>
      </c>
      <c r="DU24" s="38">
        <f t="shared" si="36"/>
        <v>780</v>
      </c>
    </row>
    <row r="25" spans="1:125" ht="12.75">
      <c r="A25" s="34" t="s">
        <v>75</v>
      </c>
      <c r="B25" s="34"/>
      <c r="C25" s="44">
        <f>ROUND('[2]Труд_по инв(потере корм)'!B15*2.5,2)</f>
        <v>1875</v>
      </c>
      <c r="D25" s="44">
        <f>ROUND('[2]Труд_по инв(потере корм)'!C15*2.5,2)</f>
        <v>1996.88</v>
      </c>
      <c r="E25" s="44">
        <f>ROUND('[2]Труд_по инв(потере корм)'!D15*2.5,2)</f>
        <v>2176.6</v>
      </c>
      <c r="F25" s="44">
        <f t="shared" si="40"/>
        <v>130.5999999999999</v>
      </c>
      <c r="G25" s="44">
        <f>ROUND('[2]Труд_по инв(потере корм)'!F15*2.5,2)</f>
        <v>2307.2</v>
      </c>
      <c r="H25" s="33">
        <f t="shared" si="41"/>
        <v>2491.78</v>
      </c>
      <c r="I25" s="44">
        <f t="shared" si="39"/>
        <v>315.1800000000003</v>
      </c>
      <c r="J25" s="34">
        <f t="shared" si="42"/>
        <v>2587.53</v>
      </c>
      <c r="K25" s="33">
        <f>ROUND('[2]Труд_по инв(потере корм)'!K15*2.5,2)</f>
        <v>2750.03</v>
      </c>
      <c r="L25" s="33">
        <f t="shared" si="43"/>
        <v>95.75</v>
      </c>
      <c r="M25" s="33">
        <f>ROUND('[2]Труд_по инв(потере корм)'!M15*2.5,2)</f>
        <v>3750.03</v>
      </c>
      <c r="N25" s="33">
        <f t="shared" si="4"/>
        <v>1000</v>
      </c>
      <c r="O25" s="72">
        <f>ROUND('[2]Труд_по инв(потере корм)'!O15*2.5,2)</f>
        <v>3750</v>
      </c>
      <c r="P25" s="46">
        <f t="shared" si="5"/>
        <v>999.9699999999998</v>
      </c>
      <c r="Q25" s="46">
        <f t="shared" si="6"/>
        <v>4312.5</v>
      </c>
      <c r="R25" s="46">
        <f t="shared" si="7"/>
        <v>5175</v>
      </c>
      <c r="S25" s="46">
        <f t="shared" si="8"/>
        <v>7500</v>
      </c>
      <c r="T25" s="8">
        <f t="shared" si="9"/>
        <v>1380</v>
      </c>
      <c r="U25" s="33">
        <f t="shared" si="10"/>
        <v>2000</v>
      </c>
      <c r="V25" s="33">
        <f>ROUND('[2]Труд_по инв(потере корм)'!W15*2.5,2)</f>
        <v>3975</v>
      </c>
      <c r="W25" s="33">
        <f t="shared" si="11"/>
        <v>4213.5</v>
      </c>
      <c r="X25" s="33">
        <f>ROUND('[2]Труд_по инв(потере корм)'!AB15*2.5,2)</f>
        <v>4312.88</v>
      </c>
      <c r="Y25" s="33">
        <f t="shared" si="12"/>
        <v>238.5</v>
      </c>
      <c r="Z25" s="33">
        <f t="shared" si="13"/>
        <v>337.8800000000001</v>
      </c>
      <c r="AA25" s="33">
        <f>2.5*'[2]Труд_по инв(потере корм)'!AE15</f>
        <v>4636.35</v>
      </c>
      <c r="AB25" s="42">
        <f t="shared" si="14"/>
        <v>323.47000000000025</v>
      </c>
      <c r="AC25" s="33">
        <f>2.5*'[2]Труд_по инв(потере корм)'!AG15</f>
        <v>5250</v>
      </c>
      <c r="AD25" s="42">
        <f t="shared" si="15"/>
        <v>613.6499999999996</v>
      </c>
      <c r="AE25" s="33">
        <f t="shared" si="16"/>
        <v>937.1199999999999</v>
      </c>
      <c r="AF25" s="42">
        <f>ROUND(2.5*'[2]Труд_по инв(потере корм)'!AJ15,2)</f>
        <v>5617.5</v>
      </c>
      <c r="AG25" s="42">
        <f>ROUND(2.5*'[2]Труд_по инв(потере корм)'!AK15,2)</f>
        <v>5538.75</v>
      </c>
      <c r="AH25" s="42">
        <f>ROUND(2.5*'[2]Труд_по инв(потере корм)'!AL15,2)</f>
        <v>6437.5</v>
      </c>
      <c r="AI25" s="33">
        <f>2.5*'[2]Труд_по инв(потере корм)'!AM15</f>
        <v>6350</v>
      </c>
      <c r="AJ25" s="42">
        <f>2.5*'[2]Труд_по инв(потере корм)'!AN15</f>
        <v>6699.25</v>
      </c>
      <c r="AK25" s="33">
        <f>2.5*'[2]Труд_по инв(потере корм)'!AO15</f>
        <v>7550</v>
      </c>
      <c r="AL25" s="42">
        <f>2.5*'[2]Труд_по инв(потере корм)'!AP15</f>
        <v>6966.425</v>
      </c>
      <c r="AM25" s="8">
        <f t="shared" si="17"/>
        <v>8682.5</v>
      </c>
      <c r="AN25">
        <f>1376.1</f>
        <v>1376.1</v>
      </c>
      <c r="AO25" s="62">
        <f t="shared" si="18"/>
        <v>10058.6</v>
      </c>
      <c r="AP25" s="8">
        <f t="shared" si="19"/>
        <v>9060</v>
      </c>
      <c r="AQ25" s="86">
        <f t="shared" si="20"/>
        <v>10436.1</v>
      </c>
      <c r="AR25" s="8">
        <f t="shared" si="21"/>
        <v>9815</v>
      </c>
      <c r="AS25" s="86">
        <f t="shared" si="22"/>
        <v>11191.1</v>
      </c>
      <c r="AT25" s="8">
        <f t="shared" si="23"/>
        <v>10570</v>
      </c>
      <c r="AU25" s="86">
        <f t="shared" si="24"/>
        <v>11946.1</v>
      </c>
      <c r="AV25" s="8">
        <f t="shared" si="25"/>
        <v>11325</v>
      </c>
      <c r="AW25" s="86">
        <f t="shared" si="26"/>
        <v>12701.1</v>
      </c>
      <c r="AX25" s="8">
        <f t="shared" si="27"/>
        <v>12080</v>
      </c>
      <c r="AY25" s="86">
        <f t="shared" si="28"/>
        <v>13456.1</v>
      </c>
      <c r="AZ25" s="8">
        <f t="shared" si="29"/>
        <v>12835</v>
      </c>
      <c r="BA25" s="86">
        <f t="shared" si="30"/>
        <v>14211.1</v>
      </c>
      <c r="BB25" s="8">
        <f t="shared" si="31"/>
        <v>13590</v>
      </c>
      <c r="BC25" s="86">
        <f t="shared" si="32"/>
        <v>14966.1</v>
      </c>
      <c r="BD25" s="8">
        <f t="shared" si="33"/>
        <v>15100</v>
      </c>
      <c r="BE25" s="86">
        <f t="shared" si="34"/>
        <v>16476.1</v>
      </c>
      <c r="BF25" s="38">
        <f>ROUND(2.5*'[2]Труд_по инв(потере корм)'!BL15,2)</f>
        <v>6875.25</v>
      </c>
      <c r="BG25" s="38">
        <f>ROUND(2.5*'[2]Труд_по инв(потере корм)'!BM15,2)</f>
        <v>8125</v>
      </c>
      <c r="DP25" s="33">
        <f>2.5*'[2]Труд_по инв(потере корм)'!BO15</f>
        <v>6500</v>
      </c>
      <c r="DQ25" s="33">
        <f t="shared" si="35"/>
        <v>1250</v>
      </c>
      <c r="DR25" s="33">
        <f>2.5*'[2]Труд_по инв(потере корм)'!BQ15</f>
        <v>6050</v>
      </c>
      <c r="DS25" s="33">
        <f t="shared" si="38"/>
        <v>800</v>
      </c>
      <c r="DT25" s="33">
        <f>2.5*'[2]Труд_по инв(потере корм)'!BS15</f>
        <v>7475</v>
      </c>
      <c r="DU25" s="38">
        <f t="shared" si="36"/>
        <v>975</v>
      </c>
    </row>
    <row r="26" spans="1:125" ht="12.75">
      <c r="A26" s="34" t="s">
        <v>76</v>
      </c>
      <c r="B26" s="34"/>
      <c r="C26" s="44">
        <f>ROUND('[2]Труд_по инв(потере корм)'!B16*2.5,2)</f>
        <v>2250</v>
      </c>
      <c r="D26" s="44">
        <f>ROUND('[2]Труд_по инв(потере корм)'!C16*2.5,2)</f>
        <v>2396.25</v>
      </c>
      <c r="E26" s="44">
        <f>ROUND('[2]Труд_по инв(потере корм)'!D16*2.5,2)</f>
        <v>2611.93</v>
      </c>
      <c r="F26" s="44">
        <f t="shared" si="40"/>
        <v>156.72000000000025</v>
      </c>
      <c r="G26" s="44">
        <f>ROUND('[2]Труд_по инв(потере корм)'!F16*2.5,2)</f>
        <v>2768.65</v>
      </c>
      <c r="H26" s="33">
        <f t="shared" si="41"/>
        <v>2990.14</v>
      </c>
      <c r="I26" s="44">
        <f t="shared" si="39"/>
        <v>378.21000000000004</v>
      </c>
      <c r="J26" s="34">
        <f t="shared" si="42"/>
        <v>3105.04</v>
      </c>
      <c r="K26" s="33">
        <f>ROUND('[2]Труд_по инв(потере корм)'!K16*2.5,2)</f>
        <v>3300.05</v>
      </c>
      <c r="L26" s="33">
        <f t="shared" si="43"/>
        <v>114.90000000000009</v>
      </c>
      <c r="M26" s="33">
        <f>ROUND('[2]Труд_по инв(потере корм)'!M16*2.5,2)</f>
        <v>4500.08</v>
      </c>
      <c r="N26" s="33">
        <f t="shared" si="4"/>
        <v>1200.0299999999997</v>
      </c>
      <c r="O26" s="72">
        <f>ROUND('[2]Труд_по инв(потере корм)'!O16*2.5,2)</f>
        <v>4500</v>
      </c>
      <c r="P26" s="46">
        <f t="shared" si="5"/>
        <v>1199.9499999999998</v>
      </c>
      <c r="Q26" s="46">
        <f t="shared" si="6"/>
        <v>5175</v>
      </c>
      <c r="R26" s="46">
        <f t="shared" si="7"/>
        <v>6210</v>
      </c>
      <c r="S26" s="46">
        <f t="shared" si="8"/>
        <v>9000</v>
      </c>
      <c r="T26" s="8">
        <f t="shared" si="9"/>
        <v>1656</v>
      </c>
      <c r="U26" s="33">
        <f t="shared" si="10"/>
        <v>2400</v>
      </c>
      <c r="V26" s="33">
        <f>ROUND('[2]Труд_по инв(потере корм)'!W16*2.5,2)</f>
        <v>4770</v>
      </c>
      <c r="W26" s="33">
        <f t="shared" si="11"/>
        <v>5056.2</v>
      </c>
      <c r="X26" s="33">
        <f>ROUND('[2]Труд_по инв(потере корм)'!AB16*2.5,2)</f>
        <v>5175.45</v>
      </c>
      <c r="Y26" s="33">
        <f t="shared" si="12"/>
        <v>286.1999999999998</v>
      </c>
      <c r="Z26" s="33">
        <f t="shared" si="13"/>
        <v>405.4499999999998</v>
      </c>
      <c r="AA26" s="42">
        <f>2.5*'[2]Труд_по инв(потере корм)'!AE16</f>
        <v>5563.6</v>
      </c>
      <c r="AB26" s="42">
        <f t="shared" si="14"/>
        <v>388.15000000000055</v>
      </c>
      <c r="AC26" s="33">
        <f>2.5*'[2]Труд_по инв(потере корм)'!AG16</f>
        <v>6300</v>
      </c>
      <c r="AD26" s="42">
        <f t="shared" si="15"/>
        <v>736.3999999999996</v>
      </c>
      <c r="AE26" s="33">
        <f t="shared" si="16"/>
        <v>1124.5500000000002</v>
      </c>
      <c r="AF26" s="42">
        <f>ROUND(2.5*'[2]Труд_по инв(потере корм)'!AJ16,2)</f>
        <v>6741</v>
      </c>
      <c r="AG26" s="42">
        <f>ROUND(2.5*'[2]Труд_по инв(потере корм)'!AK16,2)</f>
        <v>6646.5</v>
      </c>
      <c r="AH26" s="42">
        <f>ROUND(2.5*'[2]Труд_по инв(потере корм)'!AL16,2)</f>
        <v>7725</v>
      </c>
      <c r="AI26" s="33">
        <f>2.5*'[2]Труд_по инв(потере корм)'!AM16</f>
        <v>7620</v>
      </c>
      <c r="AJ26" s="42">
        <f>2.5*'[2]Труд_по инв(потере корм)'!AN16</f>
        <v>8039.099999999999</v>
      </c>
      <c r="AK26" s="33">
        <f>2.5*'[2]Труд_по инв(потере корм)'!AO16</f>
        <v>9060</v>
      </c>
      <c r="AL26" s="42">
        <f>2.5*'[2]Труд_по инв(потере корм)'!AP16</f>
        <v>8359.7</v>
      </c>
      <c r="AM26" s="8">
        <f t="shared" si="17"/>
        <v>10419</v>
      </c>
      <c r="AN26">
        <f>1376.1</f>
        <v>1376.1</v>
      </c>
      <c r="AO26" s="62">
        <f t="shared" si="18"/>
        <v>11795.1</v>
      </c>
      <c r="AP26" s="8">
        <f t="shared" si="19"/>
        <v>10872</v>
      </c>
      <c r="AQ26" s="86">
        <f t="shared" si="20"/>
        <v>12248.1</v>
      </c>
      <c r="AR26" s="8">
        <f t="shared" si="21"/>
        <v>11778</v>
      </c>
      <c r="AS26" s="86">
        <f t="shared" si="22"/>
        <v>13154.1</v>
      </c>
      <c r="AT26" s="8">
        <f t="shared" si="23"/>
        <v>12684</v>
      </c>
      <c r="AU26" s="86">
        <f t="shared" si="24"/>
        <v>14060.1</v>
      </c>
      <c r="AV26" s="8">
        <f t="shared" si="25"/>
        <v>13590</v>
      </c>
      <c r="AW26" s="86">
        <f t="shared" si="26"/>
        <v>14966.1</v>
      </c>
      <c r="AX26" s="8">
        <f t="shared" si="27"/>
        <v>14496</v>
      </c>
      <c r="AY26" s="86">
        <f t="shared" si="28"/>
        <v>15872.1</v>
      </c>
      <c r="AZ26" s="8">
        <f t="shared" si="29"/>
        <v>15402</v>
      </c>
      <c r="BA26" s="86">
        <f t="shared" si="30"/>
        <v>16778.1</v>
      </c>
      <c r="BB26" s="8">
        <f t="shared" si="31"/>
        <v>16308</v>
      </c>
      <c r="BC26" s="86">
        <f t="shared" si="32"/>
        <v>17684.1</v>
      </c>
      <c r="BD26" s="8">
        <f t="shared" si="33"/>
        <v>18120</v>
      </c>
      <c r="BE26" s="86">
        <f t="shared" si="34"/>
        <v>19496.1</v>
      </c>
      <c r="BF26" s="38">
        <f>ROUND(2.5*'[2]Труд_по инв(потере корм)'!BL16,2)</f>
        <v>8250.3</v>
      </c>
      <c r="BG26" s="38">
        <f>ROUND(2.5*'[2]Труд_по инв(потере корм)'!BM16,2)</f>
        <v>9750</v>
      </c>
      <c r="DP26" s="33">
        <f>2.5*'[2]Труд_по инв(потере корм)'!BO16</f>
        <v>7800</v>
      </c>
      <c r="DQ26" s="33">
        <f t="shared" si="35"/>
        <v>1500</v>
      </c>
      <c r="DR26" s="33">
        <f>2.5*'[2]Труд_по инв(потере корм)'!BQ16</f>
        <v>7260</v>
      </c>
      <c r="DS26" s="33">
        <f t="shared" si="38"/>
        <v>960</v>
      </c>
      <c r="DT26" s="33">
        <f>2.5*'[2]Труд_по инв(потере корм)'!BS16</f>
        <v>8970</v>
      </c>
      <c r="DU26" s="38">
        <f t="shared" si="36"/>
        <v>1170</v>
      </c>
    </row>
    <row r="27" spans="1:125" ht="12.75">
      <c r="A27" s="32" t="s">
        <v>91</v>
      </c>
      <c r="B27" s="32" t="s">
        <v>134</v>
      </c>
      <c r="C27" s="44">
        <f>'[2]Труд_по инв(потере корм)'!B17*2.5</f>
        <v>0</v>
      </c>
      <c r="D27" s="44">
        <f>ROUND(C27*1.065,2)</f>
        <v>0</v>
      </c>
      <c r="E27" s="44">
        <f>ROUND(D27*1.09,2)</f>
        <v>0</v>
      </c>
      <c r="F27" s="44">
        <f t="shared" si="40"/>
        <v>0</v>
      </c>
      <c r="G27" s="44"/>
      <c r="H27" s="33">
        <f t="shared" si="41"/>
        <v>0</v>
      </c>
      <c r="I27" s="44">
        <f t="shared" si="39"/>
        <v>0</v>
      </c>
      <c r="J27" s="34">
        <f t="shared" si="42"/>
        <v>0</v>
      </c>
      <c r="K27" s="34"/>
      <c r="L27" s="34">
        <f t="shared" si="43"/>
        <v>0</v>
      </c>
      <c r="M27" s="33">
        <f>ROUND(K27*M$4,2)</f>
        <v>0</v>
      </c>
      <c r="N27" s="33">
        <f t="shared" si="4"/>
        <v>0</v>
      </c>
      <c r="O27" s="72"/>
      <c r="P27" s="46">
        <f t="shared" si="5"/>
        <v>0</v>
      </c>
      <c r="Q27" s="46">
        <f t="shared" si="6"/>
        <v>0</v>
      </c>
      <c r="R27" s="46">
        <f t="shared" si="7"/>
        <v>0</v>
      </c>
      <c r="S27" s="46">
        <f t="shared" si="8"/>
        <v>0</v>
      </c>
      <c r="T27" s="8">
        <f t="shared" si="9"/>
        <v>0</v>
      </c>
      <c r="U27" s="33">
        <f t="shared" si="10"/>
        <v>0</v>
      </c>
      <c r="V27" s="33"/>
      <c r="W27" s="33">
        <f t="shared" si="11"/>
        <v>0</v>
      </c>
      <c r="X27" s="33">
        <f>ROUND(V27*1.085,2)</f>
        <v>0</v>
      </c>
      <c r="Y27" s="33">
        <f t="shared" si="12"/>
        <v>0</v>
      </c>
      <c r="Z27" s="33">
        <f t="shared" si="13"/>
        <v>0</v>
      </c>
      <c r="AA27" s="33"/>
      <c r="AB27" s="42">
        <f t="shared" si="14"/>
        <v>0</v>
      </c>
      <c r="AC27" s="33">
        <f>2.5*'[2]Труд_по инв(потере корм)'!AG17</f>
        <v>0</v>
      </c>
      <c r="AD27" s="42">
        <f t="shared" si="15"/>
        <v>0</v>
      </c>
      <c r="AE27" s="33">
        <f t="shared" si="16"/>
        <v>0</v>
      </c>
      <c r="AF27" s="33"/>
      <c r="AG27" s="34"/>
      <c r="AH27" s="34"/>
      <c r="AI27" s="34"/>
      <c r="AJ27" s="34"/>
      <c r="AK27" s="34"/>
      <c r="AL27" s="34"/>
      <c r="AM27" s="8">
        <f t="shared" si="17"/>
        <v>0</v>
      </c>
      <c r="AO27" s="62">
        <f t="shared" si="18"/>
        <v>0</v>
      </c>
      <c r="AP27" s="8">
        <f t="shared" si="19"/>
        <v>0</v>
      </c>
      <c r="AQ27" s="86">
        <f t="shared" si="20"/>
        <v>0</v>
      </c>
      <c r="AR27" s="8">
        <f t="shared" si="21"/>
        <v>0</v>
      </c>
      <c r="AS27" s="86">
        <f t="shared" si="22"/>
        <v>0</v>
      </c>
      <c r="AT27" s="8">
        <f t="shared" si="23"/>
        <v>0</v>
      </c>
      <c r="AU27" s="86">
        <f t="shared" si="24"/>
        <v>0</v>
      </c>
      <c r="AV27" s="8">
        <f t="shared" si="25"/>
        <v>0</v>
      </c>
      <c r="AW27" s="86">
        <f t="shared" si="26"/>
        <v>0</v>
      </c>
      <c r="AX27" s="8">
        <f t="shared" si="27"/>
        <v>0</v>
      </c>
      <c r="AY27" s="86">
        <f t="shared" si="28"/>
        <v>0</v>
      </c>
      <c r="AZ27" s="8">
        <f t="shared" si="29"/>
        <v>0</v>
      </c>
      <c r="BA27" s="86">
        <f t="shared" si="30"/>
        <v>0</v>
      </c>
      <c r="BB27" s="8">
        <f t="shared" si="31"/>
        <v>0</v>
      </c>
      <c r="BC27" s="86">
        <f t="shared" si="32"/>
        <v>0</v>
      </c>
      <c r="BD27" s="8">
        <f t="shared" si="33"/>
        <v>0</v>
      </c>
      <c r="BE27" s="86">
        <f t="shared" si="34"/>
        <v>0</v>
      </c>
      <c r="BF27" s="35"/>
      <c r="BG27" s="35"/>
      <c r="DP27" s="33"/>
      <c r="DQ27" s="33">
        <f t="shared" si="35"/>
        <v>0</v>
      </c>
      <c r="DR27" s="33"/>
      <c r="DS27" s="33">
        <f t="shared" si="38"/>
        <v>0</v>
      </c>
      <c r="DT27" s="34"/>
      <c r="DU27" s="38">
        <f t="shared" si="36"/>
        <v>0</v>
      </c>
    </row>
    <row r="28" spans="1:125" ht="12.75">
      <c r="A28" s="34" t="s">
        <v>73</v>
      </c>
      <c r="B28" s="32" t="s">
        <v>137</v>
      </c>
      <c r="C28" s="44">
        <f>IF('[2]Труд_по инв(потере корм)'!B18*2.5&lt;660,660,ROUND('[2]Труд_по инв(потере корм)'!B18*2.5,2))</f>
        <v>660</v>
      </c>
      <c r="D28" s="44">
        <f>IF('[2]Труд_по инв(потере корм)'!C18*2.5&lt;660,660,ROUND('[2]Труд_по инв(потере корм)'!C18*2.5,2))</f>
        <v>660</v>
      </c>
      <c r="E28" s="44">
        <f>IF('[2]Труд_по инв(потере корм)'!D18*2.5&lt;660,660,ROUND('[2]Труд_по инв(потере корм)'!D18*2.5,2))</f>
        <v>660</v>
      </c>
      <c r="F28" s="44">
        <f t="shared" si="40"/>
        <v>32.17999999999995</v>
      </c>
      <c r="G28" s="44">
        <f>IF('[2]Труд_по инв(потере корм)'!F18*2.5&lt;660,660,ROUND('[2]Труд_по инв(потере корм)'!F18*2.5,2))</f>
        <v>692.18</v>
      </c>
      <c r="H28" s="33">
        <f t="shared" si="41"/>
        <v>747.55</v>
      </c>
      <c r="I28" s="44">
        <f t="shared" si="39"/>
        <v>87.54999999999995</v>
      </c>
      <c r="J28" s="34">
        <f t="shared" si="42"/>
        <v>776.28</v>
      </c>
      <c r="K28" s="45">
        <f>ROUND('[2]Труд_по инв(потере корм)'!K18*2.5,2)</f>
        <v>825.03</v>
      </c>
      <c r="L28" s="45">
        <f t="shared" si="43"/>
        <v>28.730000000000018</v>
      </c>
      <c r="M28" s="45">
        <f>ROUND('[2]Труд_по инв(потере корм)'!M18*2.5,2)</f>
        <v>1125.03</v>
      </c>
      <c r="N28" s="45">
        <f t="shared" si="4"/>
        <v>300</v>
      </c>
      <c r="O28" s="115">
        <f>ROUND('[2]Труд_по инв(потере корм)'!O18*2.5,2)</f>
        <v>1125</v>
      </c>
      <c r="P28" s="48">
        <f t="shared" si="5"/>
        <v>299.97</v>
      </c>
      <c r="Q28" s="48">
        <f t="shared" si="6"/>
        <v>1293.75</v>
      </c>
      <c r="R28" s="48">
        <f t="shared" si="7"/>
        <v>1552.5</v>
      </c>
      <c r="S28" s="48">
        <f t="shared" si="8"/>
        <v>2250</v>
      </c>
      <c r="T28" s="8">
        <f t="shared" si="9"/>
        <v>414</v>
      </c>
      <c r="U28" s="33">
        <f t="shared" si="10"/>
        <v>600</v>
      </c>
      <c r="V28" s="33">
        <f>ROUND('[2]Труд_по инв(потере корм)'!W18*2.5,2)</f>
        <v>1192.5</v>
      </c>
      <c r="W28" s="33">
        <f t="shared" si="11"/>
        <v>1264.05</v>
      </c>
      <c r="X28" s="33">
        <f>ROUND('[2]Труд_по инв(потере корм)'!AB18*2.5,2)</f>
        <v>1293.86</v>
      </c>
      <c r="Y28" s="33">
        <f t="shared" si="12"/>
        <v>71.54999999999995</v>
      </c>
      <c r="Z28" s="33">
        <f t="shared" si="13"/>
        <v>101.3599999999999</v>
      </c>
      <c r="AA28" s="33">
        <f>2.5*'[2]Труд_по инв(потере корм)'!AE18</f>
        <v>1390.9</v>
      </c>
      <c r="AB28" s="42">
        <f t="shared" si="14"/>
        <v>97.04000000000019</v>
      </c>
      <c r="AC28" s="33">
        <f>2.5*'[2]Труд_по инв(потере корм)'!AG18</f>
        <v>1575</v>
      </c>
      <c r="AD28" s="42">
        <f t="shared" si="15"/>
        <v>184.0999999999999</v>
      </c>
      <c r="AE28" s="33">
        <f t="shared" si="16"/>
        <v>281.1400000000001</v>
      </c>
      <c r="AF28" s="33">
        <f>ROUND(2.5*'[2]Труд_по инв(потере корм)'!AJ18,2)</f>
        <v>1685.25</v>
      </c>
      <c r="AG28" s="33">
        <f>ROUND(2.5*'[2]Труд_по инв(потере корм)'!AK18,2)</f>
        <v>1661.63</v>
      </c>
      <c r="AH28" s="33">
        <f>ROUND(2.5*'[2]Труд_по инв(потере корм)'!AL18,2)</f>
        <v>1931.25</v>
      </c>
      <c r="AI28" s="33">
        <f>2.5*'[2]Труд_по инв(потере корм)'!AM18</f>
        <v>1905</v>
      </c>
      <c r="AJ28" s="42">
        <f>2.5*'[2]Труд_по инв(потере корм)'!AN18</f>
        <v>2009.7749999999999</v>
      </c>
      <c r="AK28" s="33">
        <f>2.5*'[2]Труд_по инв(потере корм)'!AO18</f>
        <v>2265</v>
      </c>
      <c r="AL28" s="42">
        <f>2.5*'[2]Труд_по инв(потере корм)'!AP18</f>
        <v>2089.925</v>
      </c>
      <c r="AM28" s="8">
        <f t="shared" si="17"/>
        <v>2604.75</v>
      </c>
      <c r="AN28">
        <f>1376.1</f>
        <v>1376.1</v>
      </c>
      <c r="AO28" s="62">
        <f t="shared" si="18"/>
        <v>3980.85</v>
      </c>
      <c r="AP28" s="8">
        <f t="shared" si="19"/>
        <v>2718</v>
      </c>
      <c r="AQ28" s="86">
        <f t="shared" si="20"/>
        <v>4094.1</v>
      </c>
      <c r="AR28" s="8">
        <f t="shared" si="21"/>
        <v>2944.5</v>
      </c>
      <c r="AS28" s="86">
        <f t="shared" si="22"/>
        <v>4320.6</v>
      </c>
      <c r="AT28" s="8">
        <f t="shared" si="23"/>
        <v>3171</v>
      </c>
      <c r="AU28" s="86">
        <f t="shared" si="24"/>
        <v>4547.1</v>
      </c>
      <c r="AV28" s="8">
        <f t="shared" si="25"/>
        <v>3397.5</v>
      </c>
      <c r="AW28" s="86">
        <f t="shared" si="26"/>
        <v>4773.6</v>
      </c>
      <c r="AX28" s="8">
        <f t="shared" si="27"/>
        <v>3624</v>
      </c>
      <c r="AY28" s="86">
        <f t="shared" si="28"/>
        <v>5000.1</v>
      </c>
      <c r="AZ28" s="8">
        <f t="shared" si="29"/>
        <v>3850.5</v>
      </c>
      <c r="BA28" s="86">
        <f t="shared" si="30"/>
        <v>5226.6</v>
      </c>
      <c r="BB28" s="8">
        <f t="shared" si="31"/>
        <v>4077</v>
      </c>
      <c r="BC28" s="86">
        <f t="shared" si="32"/>
        <v>5453.1</v>
      </c>
      <c r="BD28" s="8">
        <f t="shared" si="33"/>
        <v>4530</v>
      </c>
      <c r="BE28" s="86">
        <f t="shared" si="34"/>
        <v>5906.1</v>
      </c>
      <c r="BF28" s="38">
        <f>ROUND(2.5*'[2]Труд_по инв(потере корм)'!BL18,2)</f>
        <v>2062.58</v>
      </c>
      <c r="BG28" s="38">
        <f>ROUND(2.5*'[2]Труд_по инв(потере корм)'!BM18,2)</f>
        <v>2437.5</v>
      </c>
      <c r="DP28" s="33">
        <f>2.5*'[2]Труд_по инв(потере корм)'!BO18</f>
        <v>1950</v>
      </c>
      <c r="DQ28" s="33">
        <f t="shared" si="35"/>
        <v>375</v>
      </c>
      <c r="DR28" s="33">
        <f>2.5*'[2]Труд_по инв(потере корм)'!BQ18</f>
        <v>1815</v>
      </c>
      <c r="DS28" s="33">
        <f t="shared" si="38"/>
        <v>240</v>
      </c>
      <c r="DT28" s="42">
        <f>2.5*'[2]Труд_по инв(потере корм)'!BS18</f>
        <v>2242.5</v>
      </c>
      <c r="DU28" s="38">
        <f t="shared" si="36"/>
        <v>292.5</v>
      </c>
    </row>
    <row r="29" spans="1:125" ht="12.75">
      <c r="A29" s="34" t="s">
        <v>74</v>
      </c>
      <c r="B29" s="34" t="s">
        <v>138</v>
      </c>
      <c r="C29" s="44">
        <f>IF('[2]Труд_по инв(потере корм)'!B19*2.5&lt;660,660,ROUND('[2]Труд_по инв(потере корм)'!B19*2.5,2))</f>
        <v>937.5</v>
      </c>
      <c r="D29" s="44">
        <f>IF('[2]Труд_по инв(потере корм)'!C19*2.5&lt;660,660,ROUND('[2]Труд_по инв(потере корм)'!C19*2.5,2))</f>
        <v>998.45</v>
      </c>
      <c r="E29" s="44">
        <f>IF('[2]Труд_по инв(потере корм)'!D19*2.5&lt;660,660,ROUND('[2]Труд_по инв(потере корм)'!D19*2.5,2))</f>
        <v>1088.3</v>
      </c>
      <c r="F29" s="44">
        <f t="shared" si="40"/>
        <v>65.29999999999995</v>
      </c>
      <c r="G29" s="44">
        <f>IF('[2]Труд_по инв(потере корм)'!F19*2.5&lt;660,660,ROUND('[2]Труд_по инв(потере корм)'!F19*2.5,2))</f>
        <v>1153.6</v>
      </c>
      <c r="H29" s="33">
        <f t="shared" si="41"/>
        <v>1245.89</v>
      </c>
      <c r="I29" s="44">
        <f t="shared" si="39"/>
        <v>157.59000000000015</v>
      </c>
      <c r="J29" s="34">
        <f t="shared" si="42"/>
        <v>1293.77</v>
      </c>
      <c r="K29" s="33">
        <f>ROUND('[2]Труд_по инв(потере корм)'!K19*2.5,2)</f>
        <v>1375.03</v>
      </c>
      <c r="L29" s="33">
        <f t="shared" si="43"/>
        <v>47.87999999999988</v>
      </c>
      <c r="M29" s="33">
        <f>ROUND('[2]Труд_по инв(потере корм)'!M19*2.5,2)</f>
        <v>1875.03</v>
      </c>
      <c r="N29" s="33">
        <f t="shared" si="4"/>
        <v>500</v>
      </c>
      <c r="O29" s="72">
        <f>ROUND('[2]Труд_по инв(потере корм)'!O19*2.5,2)</f>
        <v>1875</v>
      </c>
      <c r="P29" s="46">
        <f t="shared" si="5"/>
        <v>499.97</v>
      </c>
      <c r="Q29" s="46">
        <f t="shared" si="6"/>
        <v>2156.25</v>
      </c>
      <c r="R29" s="46">
        <f t="shared" si="7"/>
        <v>2587.5</v>
      </c>
      <c r="S29" s="46">
        <f t="shared" si="8"/>
        <v>3750</v>
      </c>
      <c r="T29" s="8">
        <f t="shared" si="9"/>
        <v>690</v>
      </c>
      <c r="U29" s="33">
        <f t="shared" si="10"/>
        <v>1000</v>
      </c>
      <c r="V29" s="33">
        <f>ROUND('[2]Труд_по инв(потере корм)'!W19*2.5,2)</f>
        <v>1987.5</v>
      </c>
      <c r="W29" s="33">
        <f t="shared" si="11"/>
        <v>2106.75</v>
      </c>
      <c r="X29" s="33">
        <f>ROUND('[2]Труд_по инв(потере корм)'!AB19*2.5,2)</f>
        <v>2156.44</v>
      </c>
      <c r="Y29" s="33">
        <f t="shared" si="12"/>
        <v>119.25</v>
      </c>
      <c r="Z29" s="33">
        <f t="shared" si="13"/>
        <v>168.94000000000005</v>
      </c>
      <c r="AA29" s="42">
        <f>2.5*'[2]Труд_по инв(потере корм)'!AE19</f>
        <v>2318.175</v>
      </c>
      <c r="AB29" s="42">
        <f t="shared" si="14"/>
        <v>161.73500000000013</v>
      </c>
      <c r="AC29" s="33">
        <f>2.5*'[2]Труд_по инв(потере корм)'!AG19</f>
        <v>2625</v>
      </c>
      <c r="AD29" s="42">
        <f t="shared" si="15"/>
        <v>306.8249999999998</v>
      </c>
      <c r="AE29" s="33">
        <f t="shared" si="16"/>
        <v>468.55999999999995</v>
      </c>
      <c r="AF29" s="33">
        <f>ROUND(2.5*'[2]Труд_по инв(потере корм)'!AJ19,2)</f>
        <v>2808.75</v>
      </c>
      <c r="AG29" s="33">
        <f>ROUND(2.5*'[2]Труд_по инв(потере корм)'!AK19,2)</f>
        <v>2769.38</v>
      </c>
      <c r="AH29" s="33">
        <f>ROUND(2.5*'[2]Труд_по инв(потере корм)'!AL19,2)</f>
        <v>3218.75</v>
      </c>
      <c r="AI29" s="33">
        <f>2.5*'[2]Труд_по инв(потере корм)'!AM19</f>
        <v>3175</v>
      </c>
      <c r="AJ29" s="42">
        <f>2.5*'[2]Труд_по инв(потере корм)'!AN19</f>
        <v>3349.625</v>
      </c>
      <c r="AK29" s="33">
        <f>2.5*'[2]Труд_по инв(потере корм)'!AO19</f>
        <v>3775</v>
      </c>
      <c r="AL29" s="42">
        <f>2.5*'[2]Труд_по инв(потере корм)'!AP19</f>
        <v>3483.2</v>
      </c>
      <c r="AM29" s="8">
        <f t="shared" si="17"/>
        <v>4341.25</v>
      </c>
      <c r="AN29">
        <f>1376.1</f>
        <v>1376.1</v>
      </c>
      <c r="AO29" s="62">
        <f t="shared" si="18"/>
        <v>5717.35</v>
      </c>
      <c r="AP29" s="8">
        <f t="shared" si="19"/>
        <v>4530</v>
      </c>
      <c r="AQ29" s="86">
        <f t="shared" si="20"/>
        <v>5906.1</v>
      </c>
      <c r="AR29" s="8">
        <f t="shared" si="21"/>
        <v>4907.5</v>
      </c>
      <c r="AS29" s="86">
        <f t="shared" si="22"/>
        <v>6283.6</v>
      </c>
      <c r="AT29" s="8">
        <f t="shared" si="23"/>
        <v>5285</v>
      </c>
      <c r="AU29" s="86">
        <f t="shared" si="24"/>
        <v>6661.1</v>
      </c>
      <c r="AV29" s="8">
        <f t="shared" si="25"/>
        <v>5662.5</v>
      </c>
      <c r="AW29" s="86">
        <f t="shared" si="26"/>
        <v>7038.6</v>
      </c>
      <c r="AX29" s="8">
        <f t="shared" si="27"/>
        <v>6040</v>
      </c>
      <c r="AY29" s="86">
        <f t="shared" si="28"/>
        <v>7416.1</v>
      </c>
      <c r="AZ29" s="8">
        <f t="shared" si="29"/>
        <v>6417.5</v>
      </c>
      <c r="BA29" s="86">
        <f t="shared" si="30"/>
        <v>7793.6</v>
      </c>
      <c r="BB29" s="8">
        <f t="shared" si="31"/>
        <v>6795</v>
      </c>
      <c r="BC29" s="86">
        <f t="shared" si="32"/>
        <v>8171.1</v>
      </c>
      <c r="BD29" s="8">
        <f t="shared" si="33"/>
        <v>7550</v>
      </c>
      <c r="BE29" s="86">
        <f t="shared" si="34"/>
        <v>8926.1</v>
      </c>
      <c r="BF29" s="38">
        <f>ROUND(2.5*'[2]Труд_по инв(потере корм)'!BL19,2)</f>
        <v>3437.63</v>
      </c>
      <c r="BG29" s="38">
        <f>ROUND(2.5*'[2]Труд_по инв(потере корм)'!BM19,2)</f>
        <v>4062.5</v>
      </c>
      <c r="DP29" s="33">
        <f>2.5*'[2]Труд_по инв(потере корм)'!BO19</f>
        <v>3250</v>
      </c>
      <c r="DQ29" s="33">
        <f t="shared" si="35"/>
        <v>625</v>
      </c>
      <c r="DR29" s="33">
        <f>2.5*'[2]Труд_по инв(потере корм)'!BQ19</f>
        <v>3025</v>
      </c>
      <c r="DS29" s="33">
        <f t="shared" si="38"/>
        <v>400</v>
      </c>
      <c r="DT29" s="42">
        <f>2.5*'[2]Труд_по инв(потере корм)'!BS19</f>
        <v>3737.5</v>
      </c>
      <c r="DU29" s="38">
        <f t="shared" si="36"/>
        <v>487.5</v>
      </c>
    </row>
    <row r="30" spans="1:125" ht="12.75">
      <c r="A30" s="34" t="s">
        <v>75</v>
      </c>
      <c r="B30" s="34"/>
      <c r="C30" s="44">
        <f>IF('[2]Труд_по инв(потере корм)'!B20*2.5&lt;660,660,ROUND('[2]Труд_по инв(потере корм)'!B20*2.5,2))</f>
        <v>1312.5</v>
      </c>
      <c r="D30" s="44">
        <f>IF('[2]Труд_по инв(потере корм)'!C20*2.5&lt;660,660,ROUND('[2]Труд_по инв(потере корм)'!C20*2.5,2))</f>
        <v>1397.83</v>
      </c>
      <c r="E30" s="44">
        <f>IF('[2]Труд_по инв(потере корм)'!D20*2.5&lt;660,660,ROUND('[2]Труд_по инв(потере корм)'!D20*2.5,2))</f>
        <v>1523.63</v>
      </c>
      <c r="F30" s="44">
        <f t="shared" si="40"/>
        <v>91.41999999999985</v>
      </c>
      <c r="G30" s="44">
        <f>IF('[2]Труд_по инв(потере корм)'!F20*2.5&lt;660,660,ROUND('[2]Труд_по инв(потере корм)'!F20*2.5,2))</f>
        <v>1615.05</v>
      </c>
      <c r="H30" s="33">
        <f t="shared" si="41"/>
        <v>1744.25</v>
      </c>
      <c r="I30" s="44">
        <f t="shared" si="39"/>
        <v>220.6199999999999</v>
      </c>
      <c r="J30" s="34">
        <f t="shared" si="42"/>
        <v>1811.28</v>
      </c>
      <c r="K30" s="33">
        <f>ROUND('[2]Труд_по инв(потере корм)'!K20*2.5,2)</f>
        <v>1925.03</v>
      </c>
      <c r="L30" s="33">
        <f t="shared" si="43"/>
        <v>67.02999999999997</v>
      </c>
      <c r="M30" s="33">
        <f>ROUND('[2]Труд_по инв(потере корм)'!M20*2.5,2)</f>
        <v>2625.03</v>
      </c>
      <c r="N30" s="33">
        <f t="shared" si="4"/>
        <v>700.0000000000002</v>
      </c>
      <c r="O30" s="72">
        <f>ROUND('[2]Труд_по инв(потере корм)'!O20*2.5,2)</f>
        <v>2625</v>
      </c>
      <c r="P30" s="46">
        <f t="shared" si="5"/>
        <v>699.97</v>
      </c>
      <c r="Q30" s="46">
        <f t="shared" si="6"/>
        <v>3018.75</v>
      </c>
      <c r="R30" s="46">
        <f t="shared" si="7"/>
        <v>3622.5</v>
      </c>
      <c r="S30" s="46">
        <f t="shared" si="8"/>
        <v>5250</v>
      </c>
      <c r="T30" s="8">
        <f t="shared" si="9"/>
        <v>966</v>
      </c>
      <c r="U30" s="33">
        <f t="shared" si="10"/>
        <v>1400</v>
      </c>
      <c r="V30" s="33">
        <f>ROUND('[2]Труд_по инв(потере корм)'!W20*2.5,2)</f>
        <v>2782.5</v>
      </c>
      <c r="W30" s="33">
        <f t="shared" si="11"/>
        <v>2949.4500000000003</v>
      </c>
      <c r="X30" s="33">
        <f>ROUND('[2]Труд_по инв(потере корм)'!AB20*2.5,2)</f>
        <v>3019.01</v>
      </c>
      <c r="Y30" s="33">
        <f t="shared" si="12"/>
        <v>166.95000000000027</v>
      </c>
      <c r="Z30" s="33">
        <f t="shared" si="13"/>
        <v>236.51000000000022</v>
      </c>
      <c r="AA30" s="33">
        <f>2.5*'[2]Труд_по инв(потере корм)'!AE20</f>
        <v>3245.4500000000003</v>
      </c>
      <c r="AB30" s="42">
        <f t="shared" si="14"/>
        <v>226.44000000000005</v>
      </c>
      <c r="AC30" s="33">
        <f>2.5*'[2]Труд_по инв(потере корм)'!AG20</f>
        <v>3675</v>
      </c>
      <c r="AD30" s="42">
        <f t="shared" si="15"/>
        <v>429.5499999999997</v>
      </c>
      <c r="AE30" s="33">
        <f t="shared" si="16"/>
        <v>655.9899999999998</v>
      </c>
      <c r="AF30" s="33">
        <f>ROUND(2.5*'[2]Труд_по инв(потере корм)'!AJ20,2)</f>
        <v>3932.25</v>
      </c>
      <c r="AG30" s="33">
        <f>ROUND(2.5*'[2]Труд_по инв(потере корм)'!AK20,2)</f>
        <v>3877.13</v>
      </c>
      <c r="AH30" s="33">
        <f>ROUND(2.5*'[2]Труд_по инв(потере корм)'!AL20,2)</f>
        <v>4506.25</v>
      </c>
      <c r="AI30" s="33">
        <f>2.5*'[2]Труд_по инв(потере корм)'!AM20</f>
        <v>4445</v>
      </c>
      <c r="AJ30" s="42">
        <f>2.5*'[2]Труд_по инв(потере корм)'!AN20</f>
        <v>4689.475</v>
      </c>
      <c r="AK30" s="33">
        <f>2.5*'[2]Труд_по инв(потере корм)'!AO20</f>
        <v>5285</v>
      </c>
      <c r="AL30" s="42">
        <f>2.5*'[2]Труд_по инв(потере корм)'!AP20</f>
        <v>4876.5</v>
      </c>
      <c r="AM30" s="8">
        <f t="shared" si="17"/>
        <v>6077.749999999999</v>
      </c>
      <c r="AN30">
        <f>1376.1</f>
        <v>1376.1</v>
      </c>
      <c r="AO30" s="62">
        <f t="shared" si="18"/>
        <v>7453.8499999999985</v>
      </c>
      <c r="AP30" s="8">
        <f t="shared" si="19"/>
        <v>6342</v>
      </c>
      <c r="AQ30" s="86">
        <f t="shared" si="20"/>
        <v>7718.1</v>
      </c>
      <c r="AR30" s="8">
        <f t="shared" si="21"/>
        <v>6870.5</v>
      </c>
      <c r="AS30" s="86">
        <f t="shared" si="22"/>
        <v>8246.6</v>
      </c>
      <c r="AT30" s="8">
        <f t="shared" si="23"/>
        <v>7398.999999999999</v>
      </c>
      <c r="AU30" s="86">
        <f t="shared" si="24"/>
        <v>8775.099999999999</v>
      </c>
      <c r="AV30" s="8">
        <f t="shared" si="25"/>
        <v>7927.5</v>
      </c>
      <c r="AW30" s="86">
        <f t="shared" si="26"/>
        <v>9303.6</v>
      </c>
      <c r="AX30" s="8">
        <f t="shared" si="27"/>
        <v>8456</v>
      </c>
      <c r="AY30" s="86">
        <f t="shared" si="28"/>
        <v>9832.1</v>
      </c>
      <c r="AZ30" s="8">
        <f t="shared" si="29"/>
        <v>8984.5</v>
      </c>
      <c r="BA30" s="86">
        <f t="shared" si="30"/>
        <v>10360.6</v>
      </c>
      <c r="BB30" s="8">
        <f t="shared" si="31"/>
        <v>9513</v>
      </c>
      <c r="BC30" s="86">
        <f t="shared" si="32"/>
        <v>10889.1</v>
      </c>
      <c r="BD30" s="8">
        <f t="shared" si="33"/>
        <v>10570</v>
      </c>
      <c r="BE30" s="86">
        <f t="shared" si="34"/>
        <v>11946.1</v>
      </c>
      <c r="BF30" s="38">
        <f>ROUND(2.5*'[2]Труд_по инв(потере корм)'!BL20,2)</f>
        <v>4812.68</v>
      </c>
      <c r="BG30" s="38">
        <f>ROUND(2.5*'[2]Труд_по инв(потере корм)'!BM20,2)</f>
        <v>5687.5</v>
      </c>
      <c r="DP30" s="33">
        <f>2.5*'[2]Труд_по инв(потере корм)'!BO20</f>
        <v>4550</v>
      </c>
      <c r="DQ30" s="33">
        <f t="shared" si="35"/>
        <v>875</v>
      </c>
      <c r="DR30" s="33">
        <f>2.5*'[2]Труд_по инв(потере корм)'!BQ20</f>
        <v>4235</v>
      </c>
      <c r="DS30" s="33">
        <f t="shared" si="38"/>
        <v>560</v>
      </c>
      <c r="DT30" s="42">
        <f>2.5*'[2]Труд_по инв(потере корм)'!BS20</f>
        <v>5232.5</v>
      </c>
      <c r="DU30" s="38">
        <f t="shared" si="36"/>
        <v>682.5</v>
      </c>
    </row>
    <row r="31" spans="1:125" ht="12.75">
      <c r="A31" s="34" t="s">
        <v>76</v>
      </c>
      <c r="B31" s="34"/>
      <c r="C31" s="44">
        <f>IF('[2]Труд_по инв(потере корм)'!B21*2.5&lt;660,660,ROUND('[2]Труд_по инв(потере корм)'!B21*2.5,2))</f>
        <v>1687.5</v>
      </c>
      <c r="D31" s="44">
        <f>IF('[2]Труд_по инв(потере корм)'!C21*2.5&lt;660,660,ROUND('[2]Труд_по инв(потере корм)'!C21*2.5,2))</f>
        <v>1797.2</v>
      </c>
      <c r="E31" s="44">
        <f>IF('[2]Труд_по инв(потере корм)'!D21*2.5&lt;660,660,ROUND('[2]Труд_по инв(потере корм)'!D21*2.5,2))</f>
        <v>1958.95</v>
      </c>
      <c r="F31" s="44">
        <f t="shared" si="40"/>
        <v>117.52999999999997</v>
      </c>
      <c r="G31" s="44">
        <f>IF('[2]Труд_по инв(потере корм)'!F21*2.5&lt;660,660,ROUND('[2]Труд_по инв(потере корм)'!F21*2.5,2))</f>
        <v>2076.48</v>
      </c>
      <c r="H31" s="33">
        <f t="shared" si="41"/>
        <v>2242.6</v>
      </c>
      <c r="I31" s="44">
        <f t="shared" si="39"/>
        <v>283.64999999999986</v>
      </c>
      <c r="J31" s="34">
        <f t="shared" si="42"/>
        <v>2328.78</v>
      </c>
      <c r="K31" s="33">
        <f>ROUND('[2]Труд_по инв(потере корм)'!K21*2.5,2)</f>
        <v>2475.03</v>
      </c>
      <c r="L31" s="33">
        <f t="shared" si="43"/>
        <v>86.18000000000029</v>
      </c>
      <c r="M31" s="33">
        <f>ROUND('[2]Труд_по инв(потере корм)'!M21*2.5,2)</f>
        <v>3375.03</v>
      </c>
      <c r="N31" s="33">
        <f t="shared" si="4"/>
        <v>900</v>
      </c>
      <c r="O31" s="72">
        <f>ROUND('[2]Труд_по инв(потере корм)'!O21*2.5,2)</f>
        <v>3375</v>
      </c>
      <c r="P31" s="46">
        <f t="shared" si="5"/>
        <v>899.9699999999998</v>
      </c>
      <c r="Q31" s="46">
        <f t="shared" si="6"/>
        <v>3881.25</v>
      </c>
      <c r="R31" s="46">
        <f t="shared" si="7"/>
        <v>4657.5</v>
      </c>
      <c r="S31" s="46">
        <f t="shared" si="8"/>
        <v>6750</v>
      </c>
      <c r="T31" s="8">
        <f t="shared" si="9"/>
        <v>1242</v>
      </c>
      <c r="U31" s="33">
        <f t="shared" si="10"/>
        <v>1800</v>
      </c>
      <c r="V31" s="33">
        <f>ROUND('[2]Труд_по инв(потере корм)'!W21*2.5,2)</f>
        <v>3577.5</v>
      </c>
      <c r="W31" s="33">
        <f t="shared" si="11"/>
        <v>3792.15</v>
      </c>
      <c r="X31" s="33">
        <f>ROUND('[2]Труд_по инв(потере корм)'!AB21*2.5,2)</f>
        <v>3881.59</v>
      </c>
      <c r="Y31" s="33">
        <f t="shared" si="12"/>
        <v>214.6500000000001</v>
      </c>
      <c r="Z31" s="33">
        <f t="shared" si="13"/>
        <v>304.09000000000015</v>
      </c>
      <c r="AA31" s="42">
        <f>2.5*'[2]Труд_по инв(потере корм)'!AE21</f>
        <v>4172.7</v>
      </c>
      <c r="AB31" s="42">
        <f t="shared" si="14"/>
        <v>291.1099999999997</v>
      </c>
      <c r="AC31" s="33">
        <f>2.5*'[2]Труд_по инв(потере корм)'!AG21</f>
        <v>4725</v>
      </c>
      <c r="AD31" s="42">
        <f t="shared" si="15"/>
        <v>552.3000000000002</v>
      </c>
      <c r="AE31" s="33">
        <f t="shared" si="16"/>
        <v>843.4099999999999</v>
      </c>
      <c r="AF31" s="33">
        <f>ROUND(2.5*'[2]Труд_по инв(потере корм)'!AJ21,2)</f>
        <v>5055.75</v>
      </c>
      <c r="AG31" s="33">
        <f>ROUND(2.5*'[2]Труд_по инв(потере корм)'!AK21,2)</f>
        <v>4984.88</v>
      </c>
      <c r="AH31" s="33">
        <f>ROUND(2.5*'[2]Труд_по инв(потере корм)'!AL21,2)</f>
        <v>5793.75</v>
      </c>
      <c r="AI31" s="33">
        <f>2.5*'[2]Труд_по инв(потере корм)'!AM21</f>
        <v>5715</v>
      </c>
      <c r="AJ31" s="42">
        <f>2.5*'[2]Труд_по инв(потере корм)'!AN21</f>
        <v>6029.325</v>
      </c>
      <c r="AK31" s="33">
        <f>2.5*'[2]Труд_по инв(потере корм)'!AO21</f>
        <v>6795</v>
      </c>
      <c r="AL31" s="42">
        <f>2.5*'[2]Труд_по инв(потере корм)'!AP21</f>
        <v>6269.775</v>
      </c>
      <c r="AM31" s="8">
        <f t="shared" si="17"/>
        <v>7814.249999999999</v>
      </c>
      <c r="AN31">
        <f>1376.1</f>
        <v>1376.1</v>
      </c>
      <c r="AO31" s="62">
        <f t="shared" si="18"/>
        <v>9190.349999999999</v>
      </c>
      <c r="AP31" s="8">
        <f t="shared" si="19"/>
        <v>8154</v>
      </c>
      <c r="AQ31" s="86">
        <f t="shared" si="20"/>
        <v>9530.1</v>
      </c>
      <c r="AR31" s="8">
        <f t="shared" si="21"/>
        <v>8833.5</v>
      </c>
      <c r="AS31" s="86">
        <f t="shared" si="22"/>
        <v>10209.6</v>
      </c>
      <c r="AT31" s="8">
        <f t="shared" si="23"/>
        <v>9513</v>
      </c>
      <c r="AU31" s="86">
        <f t="shared" si="24"/>
        <v>10889.1</v>
      </c>
      <c r="AV31" s="8">
        <f t="shared" si="25"/>
        <v>10192.5</v>
      </c>
      <c r="AW31" s="86">
        <f t="shared" si="26"/>
        <v>11568.6</v>
      </c>
      <c r="AX31" s="8">
        <f t="shared" si="27"/>
        <v>10872</v>
      </c>
      <c r="AY31" s="86">
        <f t="shared" si="28"/>
        <v>12248.1</v>
      </c>
      <c r="AZ31" s="8">
        <f t="shared" si="29"/>
        <v>11551.5</v>
      </c>
      <c r="BA31" s="86">
        <f t="shared" si="30"/>
        <v>12927.6</v>
      </c>
      <c r="BB31" s="8">
        <f t="shared" si="31"/>
        <v>12231</v>
      </c>
      <c r="BC31" s="86">
        <f t="shared" si="32"/>
        <v>13607.1</v>
      </c>
      <c r="BD31" s="8">
        <f t="shared" si="33"/>
        <v>13590</v>
      </c>
      <c r="BE31" s="86">
        <f t="shared" si="34"/>
        <v>14966.1</v>
      </c>
      <c r="BF31" s="38">
        <f>ROUND(2.5*'[2]Труд_по инв(потере корм)'!BL21,2)</f>
        <v>6187.73</v>
      </c>
      <c r="BG31" s="38">
        <f>ROUND(2.5*'[2]Труд_по инв(потере корм)'!BM21,2)</f>
        <v>7312.5</v>
      </c>
      <c r="DP31" s="33">
        <f>2.5*'[2]Труд_по инв(потере корм)'!BO21</f>
        <v>5850</v>
      </c>
      <c r="DQ31" s="33">
        <f t="shared" si="35"/>
        <v>1125</v>
      </c>
      <c r="DR31" s="33">
        <f>2.5*'[2]Труд_по инв(потере корм)'!BQ21</f>
        <v>5445</v>
      </c>
      <c r="DS31" s="33">
        <f t="shared" si="38"/>
        <v>720</v>
      </c>
      <c r="DT31" s="42">
        <f>2.5*'[2]Труд_по инв(потере корм)'!BS21</f>
        <v>6727.5</v>
      </c>
      <c r="DU31" s="38">
        <f t="shared" si="36"/>
        <v>877.5</v>
      </c>
    </row>
    <row r="32" spans="1:125" ht="12.75">
      <c r="A32" s="170" t="s">
        <v>92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33">
        <f>ROUND(K32*M$4,2)</f>
        <v>0</v>
      </c>
      <c r="N32" s="33">
        <f t="shared" si="4"/>
        <v>0</v>
      </c>
      <c r="O32" s="72"/>
      <c r="P32" s="46">
        <f t="shared" si="5"/>
        <v>0</v>
      </c>
      <c r="Q32" s="46">
        <f t="shared" si="6"/>
        <v>0</v>
      </c>
      <c r="R32" s="46">
        <f t="shared" si="7"/>
        <v>0</v>
      </c>
      <c r="S32" s="46">
        <f t="shared" si="8"/>
        <v>0</v>
      </c>
      <c r="T32" s="8">
        <f t="shared" si="9"/>
        <v>0</v>
      </c>
      <c r="U32" s="33">
        <f t="shared" si="10"/>
        <v>0</v>
      </c>
      <c r="V32" s="33"/>
      <c r="W32" s="33">
        <f t="shared" si="11"/>
        <v>0</v>
      </c>
      <c r="X32" s="33">
        <f>ROUND(V32*1.085,2)</f>
        <v>0</v>
      </c>
      <c r="Y32" s="33">
        <f t="shared" si="12"/>
        <v>0</v>
      </c>
      <c r="Z32" s="33">
        <f t="shared" si="13"/>
        <v>0</v>
      </c>
      <c r="AA32" s="33"/>
      <c r="AB32" s="42">
        <f t="shared" si="14"/>
        <v>0</v>
      </c>
      <c r="AC32" s="33"/>
      <c r="AD32" s="42">
        <f t="shared" si="15"/>
        <v>0</v>
      </c>
      <c r="AE32" s="33">
        <f t="shared" si="16"/>
        <v>0</v>
      </c>
      <c r="AF32" s="33"/>
      <c r="AG32" s="34"/>
      <c r="AH32" s="34"/>
      <c r="AI32" s="34"/>
      <c r="AJ32" s="34"/>
      <c r="AK32" s="34"/>
      <c r="AL32" s="34"/>
      <c r="AM32" s="8">
        <f t="shared" si="17"/>
        <v>0</v>
      </c>
      <c r="AO32" s="62">
        <f t="shared" si="18"/>
        <v>0</v>
      </c>
      <c r="AP32" s="8">
        <f t="shared" si="19"/>
        <v>0</v>
      </c>
      <c r="AQ32" s="86">
        <f t="shared" si="20"/>
        <v>0</v>
      </c>
      <c r="AR32" s="8">
        <f t="shared" si="21"/>
        <v>0</v>
      </c>
      <c r="AS32" s="86">
        <f t="shared" si="22"/>
        <v>0</v>
      </c>
      <c r="AT32" s="8">
        <f t="shared" si="23"/>
        <v>0</v>
      </c>
      <c r="AU32" s="86">
        <f t="shared" si="24"/>
        <v>0</v>
      </c>
      <c r="AV32" s="8">
        <f t="shared" si="25"/>
        <v>0</v>
      </c>
      <c r="AW32" s="86">
        <f t="shared" si="26"/>
        <v>0</v>
      </c>
      <c r="AX32" s="8">
        <f t="shared" si="27"/>
        <v>0</v>
      </c>
      <c r="AY32" s="86">
        <f t="shared" si="28"/>
        <v>0</v>
      </c>
      <c r="AZ32" s="8">
        <f t="shared" si="29"/>
        <v>0</v>
      </c>
      <c r="BA32" s="86">
        <f t="shared" si="30"/>
        <v>0</v>
      </c>
      <c r="BB32" s="8">
        <f t="shared" si="31"/>
        <v>0</v>
      </c>
      <c r="BC32" s="86">
        <f t="shared" si="32"/>
        <v>0</v>
      </c>
      <c r="BD32" s="8">
        <f t="shared" si="33"/>
        <v>0</v>
      </c>
      <c r="BE32" s="86">
        <f t="shared" si="34"/>
        <v>0</v>
      </c>
      <c r="BF32" s="35"/>
      <c r="BG32" s="35"/>
      <c r="DP32" s="33"/>
      <c r="DQ32" s="33">
        <f t="shared" si="35"/>
        <v>0</v>
      </c>
      <c r="DR32" s="33"/>
      <c r="DS32" s="33">
        <f t="shared" si="38"/>
        <v>0</v>
      </c>
      <c r="DT32" s="34"/>
      <c r="DU32" s="38">
        <f t="shared" si="36"/>
        <v>0</v>
      </c>
    </row>
    <row r="33" spans="1:125" ht="12.75">
      <c r="A33" s="34" t="s">
        <v>95</v>
      </c>
      <c r="B33" s="32" t="s">
        <v>139</v>
      </c>
      <c r="C33" s="44">
        <f>ROUND('[2]Труд_по инв(потере корм)'!B28*2.5,2)</f>
        <v>1125</v>
      </c>
      <c r="D33" s="44">
        <f>ROUND('[2]Труд_по инв(потере корм)'!C28*2.5,2)</f>
        <v>1198.13</v>
      </c>
      <c r="E33" s="44">
        <f>ROUND('[2]Труд_по инв(потере корм)'!D28*2.5,2)</f>
        <v>1305.95</v>
      </c>
      <c r="F33" s="44">
        <f>G33-E33</f>
        <v>78.34999999999991</v>
      </c>
      <c r="G33" s="44">
        <f>ROUND('[2]Труд_по инв(потере корм)'!F28*2.5,2)</f>
        <v>1384.3</v>
      </c>
      <c r="H33" s="33">
        <f>ROUND(G33*1.08,2)</f>
        <v>1495.04</v>
      </c>
      <c r="I33" s="44">
        <f>H33-E33</f>
        <v>189.08999999999992</v>
      </c>
      <c r="J33" s="34">
        <f>ROUND(H33*J$4,2)</f>
        <v>1552.49</v>
      </c>
      <c r="K33" s="45">
        <f>ROUND('[2]Труд_по инв(потере корм)'!K28*2.5,2)</f>
        <v>1650</v>
      </c>
      <c r="L33" s="45">
        <f>J33-H33</f>
        <v>57.450000000000045</v>
      </c>
      <c r="M33" s="45">
        <f>ROUND('[2]Труд_по инв(потере корм)'!M28*2.5,2)</f>
        <v>2250</v>
      </c>
      <c r="N33" s="45">
        <f t="shared" si="4"/>
        <v>600</v>
      </c>
      <c r="O33" s="115">
        <f>ROUND('[2]Труд_по инв(потере корм)'!O28*2.5,2)</f>
        <v>2250</v>
      </c>
      <c r="P33" s="48">
        <f t="shared" si="5"/>
        <v>600</v>
      </c>
      <c r="Q33" s="48">
        <f t="shared" si="6"/>
        <v>2587.5</v>
      </c>
      <c r="R33" s="48">
        <f t="shared" si="7"/>
        <v>3105</v>
      </c>
      <c r="S33" s="48">
        <f t="shared" si="8"/>
        <v>4500</v>
      </c>
      <c r="T33" s="8">
        <f t="shared" si="9"/>
        <v>828</v>
      </c>
      <c r="U33" s="33">
        <f t="shared" si="10"/>
        <v>1200</v>
      </c>
      <c r="V33" s="33">
        <f>ROUND(2.5*'[2]Труд_по инв(потере корм)'!W28,2)</f>
        <v>2385</v>
      </c>
      <c r="W33" s="33">
        <f t="shared" si="11"/>
        <v>2528.1</v>
      </c>
      <c r="X33" s="33">
        <f>ROUND('[2]Труд_по инв(потере корм)'!AB28*2.5,2)</f>
        <v>2587.73</v>
      </c>
      <c r="Y33" s="33">
        <f t="shared" si="12"/>
        <v>143.0999999999999</v>
      </c>
      <c r="Z33" s="33">
        <f t="shared" si="13"/>
        <v>202.73000000000002</v>
      </c>
      <c r="AA33" s="33">
        <f>2.5*'[2]Труд_по инв(потере корм)'!AE28</f>
        <v>2781.8</v>
      </c>
      <c r="AB33" s="42">
        <f t="shared" si="14"/>
        <v>194.07000000000016</v>
      </c>
      <c r="AC33" s="33">
        <f>2.5*'[2]Труд_по инв(потере корм)'!AG28</f>
        <v>3150</v>
      </c>
      <c r="AD33" s="42">
        <f t="shared" si="15"/>
        <v>368.1999999999998</v>
      </c>
      <c r="AE33" s="33">
        <f t="shared" si="16"/>
        <v>562.27</v>
      </c>
      <c r="AF33" s="33">
        <f>ROUND(2.5*'[2]Труд_по инв(потере корм)'!AJ28,2)</f>
        <v>3370.5</v>
      </c>
      <c r="AG33" s="33">
        <f>ROUND(2.5*'[2]Труд_по инв(потере корм)'!AK28,2)</f>
        <v>3323.25</v>
      </c>
      <c r="AH33" s="33">
        <f>ROUND(2.5*'[2]Труд_по инв(потере корм)'!AL28,2)</f>
        <v>3862.5</v>
      </c>
      <c r="AI33" s="33">
        <f>2.5*'[2]Труд_по инв(потере корм)'!AM28</f>
        <v>3810</v>
      </c>
      <c r="AJ33" s="42">
        <f>2.5*'[2]Труд_по инв(потере корм)'!AN28</f>
        <v>4019.5499999999997</v>
      </c>
      <c r="AK33" s="33">
        <f>2.5*'[2]Труд_по инв(потере корм)'!AO28</f>
        <v>4530</v>
      </c>
      <c r="AL33" s="42">
        <f>2.5*'[2]Труд_по инв(потере корм)'!AP28</f>
        <v>4179.85</v>
      </c>
      <c r="AM33" s="8">
        <f t="shared" si="17"/>
        <v>5209.5</v>
      </c>
      <c r="AO33" s="62">
        <f t="shared" si="18"/>
        <v>5209.5</v>
      </c>
      <c r="AP33" s="8">
        <f t="shared" si="19"/>
        <v>5436</v>
      </c>
      <c r="AQ33" s="86">
        <f t="shared" si="20"/>
        <v>5436</v>
      </c>
      <c r="AR33" s="8">
        <f t="shared" si="21"/>
        <v>5889</v>
      </c>
      <c r="AS33" s="86">
        <f t="shared" si="22"/>
        <v>5889</v>
      </c>
      <c r="AT33" s="8">
        <f t="shared" si="23"/>
        <v>6342</v>
      </c>
      <c r="AU33" s="86">
        <f t="shared" si="24"/>
        <v>6342</v>
      </c>
      <c r="AV33" s="8">
        <f t="shared" si="25"/>
        <v>6795</v>
      </c>
      <c r="AW33" s="86">
        <f t="shared" si="26"/>
        <v>6795</v>
      </c>
      <c r="AX33" s="8">
        <f t="shared" si="27"/>
        <v>7248</v>
      </c>
      <c r="AY33" s="86">
        <f t="shared" si="28"/>
        <v>7248</v>
      </c>
      <c r="AZ33" s="8">
        <f t="shared" si="29"/>
        <v>7701</v>
      </c>
      <c r="BA33" s="86">
        <f t="shared" si="30"/>
        <v>7701</v>
      </c>
      <c r="BB33" s="8">
        <f t="shared" si="31"/>
        <v>8154</v>
      </c>
      <c r="BC33" s="86">
        <f t="shared" si="32"/>
        <v>8154</v>
      </c>
      <c r="BD33" s="8">
        <f t="shared" si="33"/>
        <v>9060</v>
      </c>
      <c r="BE33" s="86">
        <f t="shared" si="34"/>
        <v>9060</v>
      </c>
      <c r="BF33" s="38">
        <f>ROUND(2.5*'[2]Труд_по инв(потере корм)'!BL28,2)</f>
        <v>4125.15</v>
      </c>
      <c r="BG33" s="38">
        <f>ROUND(2.5*'[2]Труд_по инв(потере корм)'!BM28,2)</f>
        <v>4875</v>
      </c>
      <c r="DP33" s="33">
        <f>2.5*'[2]Труд_по инв(потере корм)'!BO28</f>
        <v>3900</v>
      </c>
      <c r="DQ33" s="33">
        <f t="shared" si="35"/>
        <v>750</v>
      </c>
      <c r="DR33" s="33">
        <f>2.5*'[2]Труд_по инв(потере корм)'!BQ28</f>
        <v>3630</v>
      </c>
      <c r="DS33" s="33">
        <f t="shared" si="38"/>
        <v>480</v>
      </c>
      <c r="DT33" s="33">
        <f>2.5*'[2]Труд_по инв(потере корм)'!BS28</f>
        <v>4485</v>
      </c>
      <c r="DU33" s="38">
        <f t="shared" si="36"/>
        <v>585</v>
      </c>
    </row>
    <row r="34" spans="1:125" ht="12.75">
      <c r="A34" s="34" t="s">
        <v>96</v>
      </c>
      <c r="B34" s="32" t="s">
        <v>140</v>
      </c>
      <c r="C34" s="44">
        <f>IF('[2]Труд_по инв(потере корм)'!B29*2.5&lt;660,660,ROUND('[2]Труд_по инв(потере корм)'!B29*2.5,2))</f>
        <v>660</v>
      </c>
      <c r="D34" s="44">
        <f>IF('[2]Труд_по инв(потере корм)'!C29*2.5&lt;660,660,ROUND('[2]Труд_по инв(потере корм)'!C29*2.5,2))</f>
        <v>660</v>
      </c>
      <c r="E34" s="44">
        <f>IF('[2]Труд_по инв(потере корм)'!D29*2.5&lt;660,660,ROUND('[2]Труд_по инв(потере корм)'!D29*2.5,2))</f>
        <v>660</v>
      </c>
      <c r="F34" s="44">
        <f>G34-E34</f>
        <v>32.17999999999995</v>
      </c>
      <c r="G34" s="44">
        <f>IF('[2]Труд_по инв(потере корм)'!F29*2.5&lt;660,660,ROUND('[2]Труд_по инв(потере корм)'!F29*2.5,2))</f>
        <v>692.18</v>
      </c>
      <c r="H34" s="33">
        <f>ROUND(G34*1.08,2)</f>
        <v>747.55</v>
      </c>
      <c r="I34" s="44">
        <f>H34-E34</f>
        <v>87.54999999999995</v>
      </c>
      <c r="J34" s="34">
        <f>ROUND(H34*J$4,2)</f>
        <v>776.28</v>
      </c>
      <c r="K34" s="45">
        <f>ROUND('[2]Труд_по инв(потере корм)'!K29*2.5,2)</f>
        <v>825.03</v>
      </c>
      <c r="L34" s="45">
        <f>J34-H34</f>
        <v>28.730000000000018</v>
      </c>
      <c r="M34" s="45">
        <f>ROUND('[2]Труд_по инв(потере корм)'!M29*2.5,2)</f>
        <v>1125.03</v>
      </c>
      <c r="N34" s="45">
        <f t="shared" si="4"/>
        <v>300</v>
      </c>
      <c r="O34" s="115">
        <f>ROUND('[2]Труд_по инв(потере корм)'!O29*2.5,2)</f>
        <v>1125</v>
      </c>
      <c r="P34" s="48">
        <f t="shared" si="5"/>
        <v>299.97</v>
      </c>
      <c r="Q34" s="48">
        <f t="shared" si="6"/>
        <v>1293.75</v>
      </c>
      <c r="R34" s="48">
        <f t="shared" si="7"/>
        <v>1552.5</v>
      </c>
      <c r="S34" s="48">
        <f t="shared" si="8"/>
        <v>2250</v>
      </c>
      <c r="T34" s="8">
        <f t="shared" si="9"/>
        <v>414</v>
      </c>
      <c r="U34" s="33">
        <f t="shared" si="10"/>
        <v>600</v>
      </c>
      <c r="V34" s="33">
        <f>ROUND(2.5*'[2]Труд_по инв(потере корм)'!W29,2)</f>
        <v>1192.5</v>
      </c>
      <c r="W34" s="33">
        <f t="shared" si="11"/>
        <v>1264.05</v>
      </c>
      <c r="X34" s="33">
        <f>ROUND('[2]Труд_по инв(потере корм)'!AB29*2.5,2)</f>
        <v>1293.86</v>
      </c>
      <c r="Y34" s="33">
        <f t="shared" si="12"/>
        <v>71.54999999999995</v>
      </c>
      <c r="Z34" s="33">
        <f t="shared" si="13"/>
        <v>101.3599999999999</v>
      </c>
      <c r="AA34" s="33">
        <f>2.5*'[2]Труд_по инв(потере корм)'!AE29</f>
        <v>1390.9</v>
      </c>
      <c r="AB34" s="42">
        <f t="shared" si="14"/>
        <v>97.04000000000019</v>
      </c>
      <c r="AC34" s="33">
        <f>2.5*'[2]Труд_по инв(потере корм)'!AG29</f>
        <v>1575</v>
      </c>
      <c r="AD34" s="42">
        <f t="shared" si="15"/>
        <v>184.0999999999999</v>
      </c>
      <c r="AE34" s="33">
        <f t="shared" si="16"/>
        <v>281.1400000000001</v>
      </c>
      <c r="AF34" s="33">
        <f>ROUND(2.5*'[2]Труд_по инв(потере корм)'!AJ29,2)</f>
        <v>1685.25</v>
      </c>
      <c r="AG34" s="33">
        <f>ROUND(2.5*'[2]Труд_по инв(потере корм)'!AK29,2)</f>
        <v>1661.63</v>
      </c>
      <c r="AH34" s="33">
        <f>ROUND(2.5*'[2]Труд_по инв(потере корм)'!AL29,2)</f>
        <v>1931.25</v>
      </c>
      <c r="AI34" s="33">
        <f>2.5*'[2]Труд_по инв(потере корм)'!AM29</f>
        <v>1905</v>
      </c>
      <c r="AJ34" s="42">
        <f>2.5*'[2]Труд_по инв(потере корм)'!AN29</f>
        <v>2009.7749999999999</v>
      </c>
      <c r="AK34" s="33">
        <f>2.5*'[2]Труд_по инв(потере корм)'!AO29</f>
        <v>2265</v>
      </c>
      <c r="AL34" s="42">
        <f>2.5*'[2]Труд_по инв(потере корм)'!AP29</f>
        <v>2089.925</v>
      </c>
      <c r="AM34" s="8">
        <f t="shared" si="17"/>
        <v>2604.75</v>
      </c>
      <c r="AO34" s="62">
        <f t="shared" si="18"/>
        <v>2604.75</v>
      </c>
      <c r="AP34" s="8">
        <f t="shared" si="19"/>
        <v>2718</v>
      </c>
      <c r="AQ34" s="86">
        <f t="shared" si="20"/>
        <v>2718</v>
      </c>
      <c r="AR34" s="8">
        <f t="shared" si="21"/>
        <v>2944.5</v>
      </c>
      <c r="AS34" s="86">
        <f t="shared" si="22"/>
        <v>2944.5</v>
      </c>
      <c r="AT34" s="8">
        <f t="shared" si="23"/>
        <v>3171</v>
      </c>
      <c r="AU34" s="86">
        <f t="shared" si="24"/>
        <v>3171</v>
      </c>
      <c r="AV34" s="8">
        <f t="shared" si="25"/>
        <v>3397.5</v>
      </c>
      <c r="AW34" s="86">
        <f t="shared" si="26"/>
        <v>3397.5</v>
      </c>
      <c r="AX34" s="8">
        <f t="shared" si="27"/>
        <v>3624</v>
      </c>
      <c r="AY34" s="86">
        <f t="shared" si="28"/>
        <v>3624</v>
      </c>
      <c r="AZ34" s="8">
        <f t="shared" si="29"/>
        <v>3850.5</v>
      </c>
      <c r="BA34" s="86">
        <f t="shared" si="30"/>
        <v>3850.5</v>
      </c>
      <c r="BB34" s="8">
        <f t="shared" si="31"/>
        <v>4077</v>
      </c>
      <c r="BC34" s="86">
        <f t="shared" si="32"/>
        <v>4077</v>
      </c>
      <c r="BD34" s="8">
        <f t="shared" si="33"/>
        <v>4530</v>
      </c>
      <c r="BE34" s="86">
        <f t="shared" si="34"/>
        <v>4530</v>
      </c>
      <c r="BF34" s="38">
        <f>ROUND(2.5*'[2]Труд_по инв(потере корм)'!BL29,2)</f>
        <v>2062.58</v>
      </c>
      <c r="BG34" s="38">
        <f>ROUND(2.5*'[2]Труд_по инв(потере корм)'!BM29,2)</f>
        <v>2437.5</v>
      </c>
      <c r="DP34" s="33">
        <f>2.5*'[2]Труд_по инв(потере корм)'!BO29</f>
        <v>1950</v>
      </c>
      <c r="DQ34" s="33">
        <f t="shared" si="35"/>
        <v>375</v>
      </c>
      <c r="DR34" s="33">
        <f>2.5*'[2]Труд_по инв(потере корм)'!BQ29</f>
        <v>1815</v>
      </c>
      <c r="DS34" s="33">
        <f t="shared" si="38"/>
        <v>240</v>
      </c>
      <c r="DT34" s="33">
        <f>2.5*'[2]Труд_по инв(потере корм)'!BS29</f>
        <v>2242.5</v>
      </c>
      <c r="DU34" s="38">
        <f t="shared" si="36"/>
        <v>292.5</v>
      </c>
    </row>
    <row r="35" spans="1:125" ht="12.75">
      <c r="A35" s="53"/>
      <c r="B35" s="53" t="s">
        <v>138</v>
      </c>
      <c r="C35" s="55"/>
      <c r="D35" s="55"/>
      <c r="E35" s="55"/>
      <c r="F35" s="55"/>
      <c r="G35" s="55"/>
      <c r="H35" s="55"/>
      <c r="I35" s="55">
        <f>H35-E35</f>
        <v>0</v>
      </c>
      <c r="J35" s="55"/>
      <c r="K35" s="55"/>
      <c r="L35" s="55"/>
      <c r="M35" s="59">
        <f>ROUND(K35*M$4,2)</f>
        <v>0</v>
      </c>
      <c r="N35" s="59">
        <f t="shared" si="4"/>
        <v>0</v>
      </c>
      <c r="O35" s="147"/>
      <c r="P35" s="137">
        <f t="shared" si="5"/>
        <v>0</v>
      </c>
      <c r="Q35" s="137">
        <f t="shared" si="6"/>
        <v>0</v>
      </c>
      <c r="R35" s="137">
        <f t="shared" si="7"/>
        <v>0</v>
      </c>
      <c r="S35" s="137">
        <f t="shared" si="8"/>
        <v>0</v>
      </c>
      <c r="T35" s="61">
        <f t="shared" si="9"/>
        <v>0</v>
      </c>
      <c r="U35" s="59">
        <f t="shared" si="10"/>
        <v>0</v>
      </c>
      <c r="V35" s="59"/>
      <c r="W35" s="59">
        <f t="shared" si="11"/>
        <v>0</v>
      </c>
      <c r="X35" s="59">
        <f>ROUND(V35*1.085,2)</f>
        <v>0</v>
      </c>
      <c r="Y35" s="59">
        <f t="shared" si="12"/>
        <v>0</v>
      </c>
      <c r="Z35" s="59">
        <f t="shared" si="13"/>
        <v>0</v>
      </c>
      <c r="AA35" s="59"/>
      <c r="AB35" s="54">
        <f t="shared" si="14"/>
        <v>0</v>
      </c>
      <c r="AC35" s="59"/>
      <c r="AD35" s="54">
        <f t="shared" si="15"/>
        <v>0</v>
      </c>
      <c r="AE35" s="59">
        <f t="shared" si="16"/>
        <v>0</v>
      </c>
      <c r="AF35" s="59"/>
      <c r="AG35" s="53"/>
      <c r="AH35" s="53"/>
      <c r="AI35" s="53"/>
      <c r="AJ35" s="53"/>
      <c r="AK35" s="53"/>
      <c r="AL35" s="53"/>
      <c r="AM35" s="8">
        <f t="shared" si="17"/>
        <v>0</v>
      </c>
      <c r="AO35" s="62">
        <f t="shared" si="18"/>
        <v>0</v>
      </c>
      <c r="AP35" s="8">
        <f t="shared" si="19"/>
        <v>0</v>
      </c>
      <c r="AQ35" s="86">
        <f t="shared" si="20"/>
        <v>0</v>
      </c>
      <c r="AR35" s="8">
        <f t="shared" si="21"/>
        <v>0</v>
      </c>
      <c r="AS35" s="86">
        <f t="shared" si="22"/>
        <v>0</v>
      </c>
      <c r="AT35" s="8">
        <f t="shared" si="23"/>
        <v>0</v>
      </c>
      <c r="AW35" s="86">
        <f t="shared" si="26"/>
        <v>0</v>
      </c>
      <c r="AX35" s="8">
        <f t="shared" si="27"/>
        <v>0</v>
      </c>
      <c r="AY35" s="86">
        <f t="shared" si="28"/>
        <v>0</v>
      </c>
      <c r="AZ35" s="8">
        <f t="shared" si="29"/>
        <v>0</v>
      </c>
      <c r="BA35" s="86">
        <f t="shared" si="30"/>
        <v>0</v>
      </c>
      <c r="BB35" s="8">
        <f t="shared" si="31"/>
        <v>0</v>
      </c>
      <c r="BE35" s="86">
        <f t="shared" si="34"/>
        <v>0</v>
      </c>
      <c r="BF35" s="7"/>
      <c r="BG35" s="53"/>
      <c r="DP35" s="59"/>
      <c r="DQ35" s="59">
        <f t="shared" si="35"/>
        <v>0</v>
      </c>
      <c r="DR35" s="59"/>
      <c r="DS35" s="59"/>
      <c r="DT35" s="53"/>
      <c r="DU35" s="60">
        <f t="shared" si="36"/>
        <v>0</v>
      </c>
    </row>
    <row r="36" spans="3:16" ht="6" customHeight="1"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2" ht="26.25" customHeight="1" hidden="1">
      <c r="A37" s="165" t="s">
        <v>108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</row>
    <row r="38" spans="1:12" ht="12.75" hidden="1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</row>
    <row r="39" spans="1:12" ht="12.75" hidden="1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</row>
  </sheetData>
  <mergeCells count="5">
    <mergeCell ref="A1:DQ1"/>
    <mergeCell ref="A37:L39"/>
    <mergeCell ref="A5:L5"/>
    <mergeCell ref="A16:L16"/>
    <mergeCell ref="A32:L32"/>
  </mergeCells>
  <printOptions horizontalCentered="1"/>
  <pageMargins left="0" right="0" top="0.3937007874015748" bottom="0.3937007874015748" header="0.31496062992125984" footer="0.1968503937007874"/>
  <pageSetup horizontalDpi="600" verticalDpi="600" orientation="landscape" paperSize="9" scale="90" r:id="rId1"/>
  <headerFooter alignWithMargins="0">
    <oddFooter>&amp;L&amp;8&amp;F&amp;R&amp;8&amp;D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A2" sqref="A2"/>
    </sheetView>
  </sheetViews>
  <sheetFormatPr defaultColWidth="9.00390625" defaultRowHeight="12.75"/>
  <cols>
    <col min="1" max="1" width="27.75390625" style="0" customWidth="1"/>
    <col min="2" max="2" width="21.75390625" style="0" customWidth="1"/>
    <col min="3" max="3" width="9.125" style="0" hidden="1" customWidth="1"/>
    <col min="4" max="4" width="10.00390625" style="0" hidden="1" customWidth="1"/>
    <col min="5" max="5" width="11.00390625" style="0" customWidth="1"/>
    <col min="6" max="6" width="12.75390625" style="0" hidden="1" customWidth="1"/>
    <col min="7" max="10" width="9.125" style="0" hidden="1" customWidth="1"/>
    <col min="11" max="11" width="10.875" style="0" customWidth="1"/>
    <col min="12" max="12" width="12.375" style="0" customWidth="1"/>
    <col min="13" max="13" width="12.00390625" style="0" hidden="1" customWidth="1"/>
    <col min="14" max="14" width="13.25390625" style="0" hidden="1" customWidth="1"/>
    <col min="15" max="15" width="11.125" style="0" hidden="1" customWidth="1"/>
    <col min="16" max="16" width="13.00390625" style="0" hidden="1" customWidth="1"/>
  </cols>
  <sheetData>
    <row r="1" spans="1:18" ht="33" customHeight="1">
      <c r="A1" s="164" t="s">
        <v>142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50"/>
      <c r="N1" s="150"/>
      <c r="O1" s="150"/>
      <c r="P1" s="150"/>
      <c r="Q1" s="150"/>
      <c r="R1" s="150"/>
    </row>
    <row r="2" spans="1:18" ht="15">
      <c r="A2" s="151"/>
      <c r="B2" s="151"/>
      <c r="C2" s="152"/>
      <c r="D2" s="151"/>
      <c r="E2" s="151"/>
      <c r="F2" s="151"/>
      <c r="G2" s="151"/>
      <c r="H2" s="151"/>
      <c r="I2" s="151"/>
      <c r="J2" s="151"/>
      <c r="M2" t="s">
        <v>12</v>
      </c>
      <c r="O2" s="151"/>
      <c r="P2" s="151"/>
      <c r="Q2" s="151"/>
      <c r="R2" s="151"/>
    </row>
    <row r="3" spans="1:16" ht="25.5">
      <c r="A3" s="130" t="s">
        <v>16</v>
      </c>
      <c r="B3" s="130" t="s">
        <v>98</v>
      </c>
      <c r="C3" s="9" t="s">
        <v>143</v>
      </c>
      <c r="D3" s="9" t="s">
        <v>144</v>
      </c>
      <c r="E3" s="9" t="s">
        <v>145</v>
      </c>
      <c r="F3" s="9" t="s">
        <v>87</v>
      </c>
      <c r="G3" s="9" t="s">
        <v>43</v>
      </c>
      <c r="H3" s="9" t="s">
        <v>44</v>
      </c>
      <c r="I3" s="9" t="s">
        <v>45</v>
      </c>
      <c r="J3" s="9" t="s">
        <v>48</v>
      </c>
      <c r="K3" s="9" t="s">
        <v>64</v>
      </c>
      <c r="L3" s="12" t="s">
        <v>65</v>
      </c>
      <c r="M3" s="9" t="s">
        <v>66</v>
      </c>
      <c r="N3" s="12" t="s">
        <v>67</v>
      </c>
      <c r="O3" s="9" t="s">
        <v>68</v>
      </c>
      <c r="P3" s="12" t="s">
        <v>69</v>
      </c>
    </row>
    <row r="4" spans="1:16" ht="12.75">
      <c r="A4" s="131" t="s">
        <v>70</v>
      </c>
      <c r="B4" s="131"/>
      <c r="C4" s="153"/>
      <c r="D4" s="26">
        <v>1.075</v>
      </c>
      <c r="E4" s="20">
        <f>1260/1112.72</f>
        <v>1.132360342224459</v>
      </c>
      <c r="F4" s="154"/>
      <c r="G4" s="26">
        <v>1.07</v>
      </c>
      <c r="H4" s="17">
        <f>'[2]Гос_обесп(радиац.катастрофы)'!AH4</f>
        <v>1.1459724076546507</v>
      </c>
      <c r="I4" s="99">
        <v>1.068</v>
      </c>
      <c r="J4" s="63">
        <f>'[2]Гос_обесп(радиац.катастрофы)'!BG4</f>
        <v>1.18177521</v>
      </c>
      <c r="K4" s="26">
        <f>1560/1260</f>
        <v>1.2380952380952381</v>
      </c>
      <c r="L4" s="27"/>
      <c r="M4" s="26">
        <f>1452/1260</f>
        <v>1.1523809523809523</v>
      </c>
      <c r="N4" s="27"/>
      <c r="O4" s="17">
        <f>1794/1560</f>
        <v>1.15</v>
      </c>
      <c r="P4" s="27"/>
    </row>
    <row r="5" spans="1:16" ht="28.5" customHeight="1">
      <c r="A5" s="172" t="s">
        <v>146</v>
      </c>
      <c r="B5" s="173"/>
      <c r="C5" s="35"/>
      <c r="D5" s="37"/>
      <c r="E5" s="37"/>
      <c r="F5" s="37"/>
      <c r="G5" s="37"/>
      <c r="H5" s="37"/>
      <c r="I5" s="37"/>
      <c r="J5" s="37"/>
      <c r="K5" s="40"/>
      <c r="L5" s="40"/>
      <c r="M5" s="40"/>
      <c r="N5" s="40"/>
      <c r="O5" s="37"/>
      <c r="P5" s="36"/>
    </row>
    <row r="6" spans="1:16" ht="12.75">
      <c r="A6" s="32" t="s">
        <v>78</v>
      </c>
      <c r="B6" s="32" t="s">
        <v>105</v>
      </c>
      <c r="C6" s="35"/>
      <c r="D6" s="34"/>
      <c r="E6" s="34"/>
      <c r="F6" s="34"/>
      <c r="G6" s="34"/>
      <c r="H6" s="34"/>
      <c r="I6" s="34"/>
      <c r="J6" s="34"/>
      <c r="K6" s="33"/>
      <c r="L6" s="33"/>
      <c r="M6" s="33"/>
      <c r="N6" s="33"/>
      <c r="O6" s="34"/>
      <c r="P6" s="35"/>
    </row>
    <row r="7" spans="1:16" ht="12.75">
      <c r="A7" s="34" t="s">
        <v>73</v>
      </c>
      <c r="B7" s="34"/>
      <c r="C7" s="38">
        <f>2*'[2]Труд_по старости'!AA8</f>
        <v>2070.18</v>
      </c>
      <c r="D7" s="33">
        <f>ROUND(2*'[2]Труд_по старости'!AD8,2)</f>
        <v>2225.44</v>
      </c>
      <c r="E7" s="72">
        <f>ROUND(2*'[2]Труд_по старости'!AF8,2)</f>
        <v>2520</v>
      </c>
      <c r="F7" s="42">
        <f>E7-D7</f>
        <v>294.55999999999995</v>
      </c>
      <c r="G7" s="42">
        <f>ROUND(2*'[2]Труд_по старости'!AI8,2)</f>
        <v>2696.4</v>
      </c>
      <c r="H7" s="42">
        <f>ROUND(2*'[2]Труд_по старости'!AK8,2)</f>
        <v>3090</v>
      </c>
      <c r="I7" s="33">
        <f>ROUND(2*'[2]Труд_по старости'!DE8,2)</f>
        <v>3300.12</v>
      </c>
      <c r="J7" s="33">
        <f>ROUND(2*'[2]Труд_по старости'!DF8,2)</f>
        <v>3900</v>
      </c>
      <c r="K7" s="33">
        <f>2*'[2]Труд_по старости'!BP8</f>
        <v>3120</v>
      </c>
      <c r="L7" s="72">
        <f>K7-E7</f>
        <v>600</v>
      </c>
      <c r="M7" s="33">
        <f>2*'[2]Труд_по старости'!BR8</f>
        <v>2904</v>
      </c>
      <c r="N7" s="72">
        <f>M7-E7</f>
        <v>384</v>
      </c>
      <c r="O7" s="33">
        <f>2*'[2]Труд_по старости'!BT8</f>
        <v>3588</v>
      </c>
      <c r="P7" s="38">
        <f>O7-K7</f>
        <v>468</v>
      </c>
    </row>
    <row r="8" spans="1:16" ht="12.75">
      <c r="A8" s="34" t="s">
        <v>74</v>
      </c>
      <c r="B8" s="34"/>
      <c r="C8" s="38">
        <f>2*'[2]Труд_по старости'!AA9</f>
        <v>2760.24</v>
      </c>
      <c r="D8" s="33">
        <f>ROUND(2*'[2]Труд_по старости'!AD9,2)</f>
        <v>2967.26</v>
      </c>
      <c r="E8" s="72">
        <f>ROUND(2*'[2]Труд_по старости'!AF9,2)</f>
        <v>3360</v>
      </c>
      <c r="F8" s="42">
        <f>E8-D8</f>
        <v>392.7399999999998</v>
      </c>
      <c r="G8" s="42">
        <f>ROUND(2*'[2]Труд_по старости'!AI9,2)</f>
        <v>3595.2</v>
      </c>
      <c r="H8" s="42">
        <f>ROUND(2*'[2]Труд_по старости'!AK9,2)</f>
        <v>4120</v>
      </c>
      <c r="I8" s="33">
        <f>ROUND(2*'[2]Труд_по старости'!DE9,2)</f>
        <v>4400.16</v>
      </c>
      <c r="J8" s="33">
        <f>ROUND(2*'[2]Труд_по старости'!DF9,2)</f>
        <v>5200</v>
      </c>
      <c r="K8" s="33">
        <f>2*'[2]Труд_по старости'!BP9</f>
        <v>4160</v>
      </c>
      <c r="L8" s="72">
        <f>K8-E8</f>
        <v>800</v>
      </c>
      <c r="M8" s="33">
        <f>2*'[2]Труд_по старости'!BR9</f>
        <v>3872</v>
      </c>
      <c r="N8" s="72">
        <f>M8-E8</f>
        <v>512</v>
      </c>
      <c r="O8" s="33">
        <f>2*'[2]Труд_по старости'!BT9</f>
        <v>4784</v>
      </c>
      <c r="P8" s="38">
        <f>O8-K8</f>
        <v>624</v>
      </c>
    </row>
    <row r="9" spans="1:16" ht="12.75">
      <c r="A9" s="34" t="s">
        <v>75</v>
      </c>
      <c r="B9" s="34"/>
      <c r="C9" s="51">
        <f>2*'[2]Труд_по старости'!AA10</f>
        <v>3450.2999999999997</v>
      </c>
      <c r="D9" s="33">
        <f>ROUND(2*'[2]Труд_по старости'!AD10,2)</f>
        <v>3709.08</v>
      </c>
      <c r="E9" s="72">
        <f>ROUND(2*'[2]Труд_по старости'!AF10,2)</f>
        <v>4200</v>
      </c>
      <c r="F9" s="42">
        <f>E9-D9</f>
        <v>490.9200000000001</v>
      </c>
      <c r="G9" s="42">
        <f>ROUND(2*'[2]Труд_по старости'!AI10,2)</f>
        <v>4494</v>
      </c>
      <c r="H9" s="42">
        <f>ROUND(2*'[2]Труд_по старости'!AK10,2)</f>
        <v>5150</v>
      </c>
      <c r="I9" s="33">
        <f>ROUND(2*'[2]Труд_по старости'!DE10,2)</f>
        <v>5500.2</v>
      </c>
      <c r="J9" s="33">
        <f>ROUND(2*'[2]Труд_по старости'!DF10,2)</f>
        <v>6500</v>
      </c>
      <c r="K9" s="33">
        <f>2*'[2]Труд_по старости'!BP10</f>
        <v>5200</v>
      </c>
      <c r="L9" s="72">
        <f>K9-E9</f>
        <v>1000</v>
      </c>
      <c r="M9" s="33">
        <f>2*'[2]Труд_по старости'!BR10</f>
        <v>4840</v>
      </c>
      <c r="N9" s="72">
        <f>M9-E9</f>
        <v>640</v>
      </c>
      <c r="O9" s="33">
        <f>2*'[2]Труд_по старости'!BT10</f>
        <v>5980</v>
      </c>
      <c r="P9" s="38">
        <f>O9-K9</f>
        <v>780</v>
      </c>
    </row>
    <row r="10" spans="1:16" ht="12.75">
      <c r="A10" s="34" t="s">
        <v>76</v>
      </c>
      <c r="B10" s="34"/>
      <c r="C10" s="38">
        <f>2*'[2]Труд_по старости'!AA11</f>
        <v>4140.36</v>
      </c>
      <c r="D10" s="33">
        <f>ROUND(2*'[2]Труд_по старости'!AD11,2)</f>
        <v>4450.88</v>
      </c>
      <c r="E10" s="72">
        <f>ROUND(2*'[2]Труд_по старости'!AF11,2)</f>
        <v>5040</v>
      </c>
      <c r="F10" s="42">
        <f>E10-D10</f>
        <v>589.1199999999999</v>
      </c>
      <c r="G10" s="42">
        <f>ROUND(2*'[2]Труд_по старости'!AI11,2)</f>
        <v>5392.8</v>
      </c>
      <c r="H10" s="42">
        <f>ROUND(2*'[2]Труд_по старости'!AK11,2)</f>
        <v>6180</v>
      </c>
      <c r="I10" s="33">
        <f>ROUND(2*'[2]Труд_по старости'!DE11,2)</f>
        <v>6600.24</v>
      </c>
      <c r="J10" s="33">
        <f>ROUND(2*'[2]Труд_по старости'!DF11,2)</f>
        <v>7800</v>
      </c>
      <c r="K10" s="33">
        <f>2*'[2]Труд_по старости'!BP11</f>
        <v>6240</v>
      </c>
      <c r="L10" s="72">
        <f>K10-E10</f>
        <v>1200</v>
      </c>
      <c r="M10" s="33">
        <f>2*'[2]Труд_по старости'!BR11</f>
        <v>5808</v>
      </c>
      <c r="N10" s="72">
        <f>M10-E10</f>
        <v>768</v>
      </c>
      <c r="O10" s="33">
        <f>2*'[2]Труд_по старости'!BT11</f>
        <v>7176</v>
      </c>
      <c r="P10" s="38">
        <f>O10-K10</f>
        <v>936</v>
      </c>
    </row>
    <row r="11" spans="1:16" ht="12.75">
      <c r="A11" s="32" t="s">
        <v>90</v>
      </c>
      <c r="B11" s="32" t="s">
        <v>107</v>
      </c>
      <c r="C11" s="38"/>
      <c r="D11" s="33"/>
      <c r="E11" s="72"/>
      <c r="F11" s="42"/>
      <c r="G11" s="33"/>
      <c r="H11" s="33"/>
      <c r="I11" s="34"/>
      <c r="J11" s="34"/>
      <c r="K11" s="33"/>
      <c r="L11" s="72"/>
      <c r="M11" s="33"/>
      <c r="N11" s="72"/>
      <c r="O11" s="33"/>
      <c r="P11" s="38"/>
    </row>
    <row r="12" spans="1:16" ht="12.75">
      <c r="A12" s="34" t="s">
        <v>73</v>
      </c>
      <c r="B12" s="34"/>
      <c r="C12" s="38">
        <f>ROUND(1.5*'[2]Труд_по старости'!AA8,2)</f>
        <v>1552.64</v>
      </c>
      <c r="D12" s="33">
        <f>ROUND(1.5*'[2]Труд_по старости'!AD8,2)</f>
        <v>1669.08</v>
      </c>
      <c r="E12" s="72">
        <f>ROUND(1.5*'[2]Труд_по старости'!AF8,2)</f>
        <v>1890</v>
      </c>
      <c r="F12" s="42">
        <f>E12-D12</f>
        <v>220.92000000000007</v>
      </c>
      <c r="G12" s="42">
        <f>ROUND(1.5*'[2]Труд_по старости'!AI8,2)</f>
        <v>2022.3</v>
      </c>
      <c r="H12" s="42">
        <f>ROUND(1.5*'[2]Труд_по старости'!AK8,2)</f>
        <v>2317.5</v>
      </c>
      <c r="I12" s="33">
        <f>ROUND(1.5*'[2]Труд_по старости'!DE8,2)</f>
        <v>2475.09</v>
      </c>
      <c r="J12" s="33">
        <f>ROUND(1.5*'[2]Труд_по старости'!DF8,2)</f>
        <v>2925</v>
      </c>
      <c r="K12" s="33">
        <f>1.5*'[2]Труд_по старости'!BP8</f>
        <v>2340</v>
      </c>
      <c r="L12" s="72">
        <f>K12-E12</f>
        <v>450</v>
      </c>
      <c r="M12" s="33">
        <f>1.5*'[2]Труд_по старости'!BR8</f>
        <v>2178</v>
      </c>
      <c r="N12" s="72">
        <f>M12-E12</f>
        <v>288</v>
      </c>
      <c r="O12" s="33">
        <f>1.5*'[2]Труд_по старости'!BT8</f>
        <v>2691</v>
      </c>
      <c r="P12" s="38">
        <f>O12-K12</f>
        <v>351</v>
      </c>
    </row>
    <row r="13" spans="1:16" ht="12.75">
      <c r="A13" s="34" t="s">
        <v>74</v>
      </c>
      <c r="B13" s="34"/>
      <c r="C13" s="38">
        <f>ROUND(1.5*'[2]Труд_по старости'!AA9,2)</f>
        <v>2070.18</v>
      </c>
      <c r="D13" s="33">
        <f>ROUND(1.5*'[2]Труд_по старости'!AD9,2)</f>
        <v>2225.45</v>
      </c>
      <c r="E13" s="72">
        <f>ROUND(1.5*'[2]Труд_по старости'!AF9,2)</f>
        <v>2520</v>
      </c>
      <c r="F13" s="42">
        <f>E13-D13</f>
        <v>294.5500000000002</v>
      </c>
      <c r="G13" s="42">
        <f>ROUND(1.5*'[2]Труд_по старости'!AI9,2)</f>
        <v>2696.4</v>
      </c>
      <c r="H13" s="42">
        <f>ROUND(1.5*'[2]Труд_по старости'!AK9,2)</f>
        <v>3090</v>
      </c>
      <c r="I13" s="33">
        <f>ROUND(1.5*'[2]Труд_по старости'!DE9,2)</f>
        <v>3300.12</v>
      </c>
      <c r="J13" s="33">
        <f>ROUND(1.5*'[2]Труд_по старости'!DF9,2)</f>
        <v>3900</v>
      </c>
      <c r="K13" s="33">
        <f>1.5*'[2]Труд_по старости'!BP9</f>
        <v>3120</v>
      </c>
      <c r="L13" s="72">
        <f>K13-E13</f>
        <v>600</v>
      </c>
      <c r="M13" s="33">
        <f>1.5*'[2]Труд_по старости'!BR9</f>
        <v>2904</v>
      </c>
      <c r="N13" s="72">
        <f>M13-E13</f>
        <v>384</v>
      </c>
      <c r="O13" s="33">
        <f>1.5*'[2]Труд_по старости'!BT9</f>
        <v>3588</v>
      </c>
      <c r="P13" s="38">
        <f>O13-K13</f>
        <v>468</v>
      </c>
    </row>
    <row r="14" spans="1:16" ht="12.75">
      <c r="A14" s="34" t="s">
        <v>75</v>
      </c>
      <c r="B14" s="34"/>
      <c r="C14" s="38">
        <f>ROUND(1.5*'[2]Труд_по старости'!AA10,2)</f>
        <v>2587.73</v>
      </c>
      <c r="D14" s="33">
        <f>ROUND(1.5*'[2]Труд_по старости'!AD10,2)</f>
        <v>2781.81</v>
      </c>
      <c r="E14" s="72">
        <f>ROUND(1.5*'[2]Труд_по старости'!AF10,2)</f>
        <v>3150</v>
      </c>
      <c r="F14" s="42">
        <f>E14-D14</f>
        <v>368.19000000000005</v>
      </c>
      <c r="G14" s="42">
        <f>ROUND(1.5*'[2]Труд_по старости'!AI10,2)</f>
        <v>3370.5</v>
      </c>
      <c r="H14" s="42">
        <f>ROUND(1.5*'[2]Труд_по старости'!AK10,2)</f>
        <v>3862.5</v>
      </c>
      <c r="I14" s="33">
        <f>ROUND(1.5*'[2]Труд_по старости'!DE10,2)</f>
        <v>4125.15</v>
      </c>
      <c r="J14" s="33">
        <f>ROUND(1.5*'[2]Труд_по старости'!DF10,2)</f>
        <v>4875</v>
      </c>
      <c r="K14" s="33">
        <f>1.5*'[2]Труд_по старости'!BP10</f>
        <v>3900</v>
      </c>
      <c r="L14" s="72">
        <f>K14-E14</f>
        <v>750</v>
      </c>
      <c r="M14" s="33">
        <f>1.5*'[2]Труд_по старости'!BR10</f>
        <v>3630</v>
      </c>
      <c r="N14" s="72">
        <f>M14-E14</f>
        <v>480</v>
      </c>
      <c r="O14" s="33">
        <f>1.5*'[2]Труд_по старости'!BT10</f>
        <v>4485</v>
      </c>
      <c r="P14" s="38">
        <f>O14-K14</f>
        <v>585</v>
      </c>
    </row>
    <row r="15" spans="1:16" ht="12.75">
      <c r="A15" s="34" t="s">
        <v>76</v>
      </c>
      <c r="B15" s="34"/>
      <c r="C15" s="38">
        <f>ROUND(1.5*'[2]Труд_по старости'!AA11,2)</f>
        <v>3105.27</v>
      </c>
      <c r="D15" s="33">
        <f>ROUND(1.5*'[2]Труд_по старости'!AD11,2)</f>
        <v>3338.16</v>
      </c>
      <c r="E15" s="72">
        <f>ROUND(1.5*'[2]Труд_по старости'!AF11,2)</f>
        <v>3780</v>
      </c>
      <c r="F15" s="42">
        <f>E15-D15</f>
        <v>441.84000000000015</v>
      </c>
      <c r="G15" s="42">
        <f>ROUND(1.5*'[2]Труд_по старости'!AI11,2)</f>
        <v>4044.6</v>
      </c>
      <c r="H15" s="42">
        <f>ROUND(1.5*'[2]Труд_по старости'!AK11,2)</f>
        <v>4635</v>
      </c>
      <c r="I15" s="33">
        <f>ROUND(1.5*'[2]Труд_по старости'!DE11,2)</f>
        <v>4950.18</v>
      </c>
      <c r="J15" s="33">
        <f>ROUND(1.5*'[2]Труд_по старости'!DF11,2)</f>
        <v>5850</v>
      </c>
      <c r="K15" s="33">
        <f>1.5*'[2]Труд_по старости'!BP11</f>
        <v>4680</v>
      </c>
      <c r="L15" s="72">
        <f>K15-E15</f>
        <v>900</v>
      </c>
      <c r="M15" s="33">
        <f>1.5*'[2]Труд_по старости'!BR11</f>
        <v>4356</v>
      </c>
      <c r="N15" s="72">
        <f>M15-E15</f>
        <v>576</v>
      </c>
      <c r="O15" s="33">
        <f>1.5*'[2]Труд_по старости'!BT11</f>
        <v>5382</v>
      </c>
      <c r="P15" s="38">
        <f>O15-K15</f>
        <v>702</v>
      </c>
    </row>
    <row r="16" spans="1:16" ht="35.25">
      <c r="A16" s="155" t="s">
        <v>109</v>
      </c>
      <c r="B16" s="121" t="s">
        <v>126</v>
      </c>
      <c r="C16" s="60">
        <f>'[2]Труд_по старости'!AA8</f>
        <v>1035.09</v>
      </c>
      <c r="D16" s="59">
        <f>'[2]Труд_по старости'!AD8</f>
        <v>1112.72</v>
      </c>
      <c r="E16" s="147">
        <f>'[2]Труд_по старости'!AF8</f>
        <v>1260</v>
      </c>
      <c r="F16" s="54">
        <f>E16-D16</f>
        <v>147.27999999999997</v>
      </c>
      <c r="G16" s="59">
        <f>'[2]Труд_по старости'!AI8</f>
        <v>1348.2</v>
      </c>
      <c r="H16" s="59">
        <f>'[2]Труд_по старости'!AK8</f>
        <v>1545</v>
      </c>
      <c r="I16" s="59">
        <f>'[2]Труд_по старости'!DE8</f>
        <v>1650.06</v>
      </c>
      <c r="J16" s="59">
        <f>'[2]Труд_по старости'!DF8</f>
        <v>1950</v>
      </c>
      <c r="K16" s="59">
        <f>'[2]Труд_по старости'!BP8</f>
        <v>1560</v>
      </c>
      <c r="L16" s="147">
        <f>K16-E16</f>
        <v>300</v>
      </c>
      <c r="M16" s="59">
        <f>'[2]Труд_по старости'!BR8</f>
        <v>1452</v>
      </c>
      <c r="N16" s="147">
        <f>M16-E16</f>
        <v>192</v>
      </c>
      <c r="O16" s="59">
        <f>'[2]Труд_по старости'!BT8</f>
        <v>1794</v>
      </c>
      <c r="P16" s="60">
        <f>O16-K16</f>
        <v>234</v>
      </c>
    </row>
  </sheetData>
  <mergeCells count="2">
    <mergeCell ref="A5:B5"/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</dc:creator>
  <cp:keywords/>
  <dc:description/>
  <cp:lastModifiedBy>Korin Valo</cp:lastModifiedBy>
  <cp:lastPrinted>2007-10-12T06:31:04Z</cp:lastPrinted>
  <dcterms:created xsi:type="dcterms:W3CDTF">2007-10-12T06:21:55Z</dcterms:created>
  <dcterms:modified xsi:type="dcterms:W3CDTF">2007-10-23T07:38:00Z</dcterms:modified>
  <cp:category/>
  <cp:version/>
  <cp:contentType/>
  <cp:contentStatus/>
</cp:coreProperties>
</file>